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wei\Documents\5036-IMPO CMAP tool update\Phase7-Rates Finalize\"/>
    </mc:Choice>
  </mc:AlternateContent>
  <xr:revisionPtr revIDLastSave="0" documentId="13_ncr:1_{C4E812CC-BC0A-44E0-BE9E-609960AB79DB}" xr6:coauthVersionLast="47" xr6:coauthVersionMax="47" xr10:uidLastSave="{00000000-0000-0000-0000-000000000000}"/>
  <bookViews>
    <workbookView xWindow="28680" yWindow="-120" windowWidth="29040" windowHeight="15720" tabRatio="909" firstSheet="1" activeTab="2" xr2:uid="{00000000-000D-0000-FFFF-FFFF00000000}"/>
  </bookViews>
  <sheets>
    <sheet name="2.1_ATMS" sheetId="100" r:id="rId1"/>
    <sheet name="2.2_Signal Synchronization" sheetId="76" r:id="rId2"/>
    <sheet name="2.3_Int.-Roundabout" sheetId="37" r:id="rId3"/>
    <sheet name="3.1_Transit-TransitTech" sheetId="81" r:id="rId4"/>
    <sheet name="4.1_Bike-Ped-Transit" sheetId="20" r:id="rId5"/>
    <sheet name="4.2_Reg. Significant Bike-Ped" sheetId="91" r:id="rId6"/>
    <sheet name="4.3 Carpool-Vanpool" sheetId="102" r:id="rId7"/>
    <sheet name="2025ER" sheetId="83" r:id="rId8"/>
    <sheet name="2035ER" sheetId="84" r:id="rId9"/>
    <sheet name="OtherVariables" sheetId="79" r:id="rId10"/>
    <sheet name="Sources &amp; Comments" sheetId="93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7" hidden="1">'2025ER'!$A$1:$X$123</definedName>
    <definedName name="AREASIZE" localSheetId="3">[1]Inputs!$I$29</definedName>
    <definedName name="AREASIZE" localSheetId="6">[1]Inputs!$I$29</definedName>
    <definedName name="AREASIZE">[2]Inputs!$I$29</definedName>
    <definedName name="AREASIZETBL" localSheetId="3">[1]Defaults!$AS$211:$AT$213</definedName>
    <definedName name="AREASIZETBL" localSheetId="6">[1]Defaults!$AS$211:$AT$213</definedName>
    <definedName name="AREASIZETBL">[2]Defaults!$AS$211:$AT$213</definedName>
    <definedName name="BVMT" localSheetId="3">[1]TravCalcs!$S$49</definedName>
    <definedName name="BVMT" localSheetId="6">[1]TravCalcs!$S$49</definedName>
    <definedName name="BVMT">[2]TravCalcs!$S$49</definedName>
    <definedName name="BVMTOP" localSheetId="3">[1]TravCalcs!$S$56</definedName>
    <definedName name="BVMTOP" localSheetId="6">[1]TravCalcs!$S$56</definedName>
    <definedName name="BVMTOP">[2]TravCalcs!$S$56</definedName>
    <definedName name="BVMTPP" localSheetId="3">[1]TravCalcs!$S$55</definedName>
    <definedName name="BVMTPP" localSheetId="6">[1]TravCalcs!$S$55</definedName>
    <definedName name="BVMTPP">[2]TravCalcs!$S$55</definedName>
    <definedName name="Capacity">OtherVariables!$B$12:$G$23</definedName>
    <definedName name="Capacity2">OtherVariables!$I$12:$N$20</definedName>
    <definedName name="_xlnm.Database" localSheetId="0">#REF!</definedName>
    <definedName name="_xlnm.Database" localSheetId="8">#REF!</definedName>
    <definedName name="_xlnm.Database" localSheetId="5">#REF!</definedName>
    <definedName name="_xlnm.Database" localSheetId="6">#REF!</definedName>
    <definedName name="_xlnm.Database">#REF!</definedName>
    <definedName name="DEFTELE" localSheetId="3">[1]Defaults!$K$95</definedName>
    <definedName name="DEFTELE" localSheetId="6">[1]Defaults!$K$95</definedName>
    <definedName name="DEFTELE">[2]Defaults!$K$95</definedName>
    <definedName name="DTRIP" localSheetId="3">[1]TravCalcs!$P$49</definedName>
    <definedName name="DTRIP" localSheetId="6">[1]TravCalcs!$P$49</definedName>
    <definedName name="DTRIP">[2]TravCalcs!$P$49</definedName>
    <definedName name="DTRIPOP" localSheetId="3">[1]TravCalcs!$P$56</definedName>
    <definedName name="DTRIPOP" localSheetId="6">[1]TravCalcs!$P$56</definedName>
    <definedName name="DTRIPOP">[2]TravCalcs!$P$56</definedName>
    <definedName name="DTRIPPP" localSheetId="3">[1]TravCalcs!$P$55</definedName>
    <definedName name="DTRIPPP" localSheetId="6">[1]TravCalcs!$P$55</definedName>
    <definedName name="DTRIPPP">[2]TravCalcs!$P$55</definedName>
    <definedName name="DVMT" localSheetId="3">[1]TravCalcs!$U$49</definedName>
    <definedName name="DVMT" localSheetId="6">[1]TravCalcs!$U$49</definedName>
    <definedName name="DVMT">[2]TravCalcs!$U$49</definedName>
    <definedName name="DVMTOP" localSheetId="3">[1]TravCalcs!$U$56</definedName>
    <definedName name="DVMTOP" localSheetId="6">[1]TravCalcs!$U$56</definedName>
    <definedName name="DVMTOP">[2]TravCalcs!$U$56</definedName>
    <definedName name="DVMTPP" localSheetId="3">[1]TravCalcs!$U$55</definedName>
    <definedName name="DVMTPP" localSheetId="6">[1]TravCalcs!$U$55</definedName>
    <definedName name="DVMTPP">[2]TravCalcs!$U$55</definedName>
    <definedName name="EMPTOT" localSheetId="3">[1]Inputs!$I$43</definedName>
    <definedName name="EMPTOT" localSheetId="6">[1]Inputs!$I$43</definedName>
    <definedName name="EMPTOT">[2]Inputs!$I$43</definedName>
    <definedName name="Farebox" localSheetId="0">#REF!</definedName>
    <definedName name="Farebox" localSheetId="6">#REF!</definedName>
    <definedName name="Farebox">#REF!</definedName>
    <definedName name="FILENAME" localSheetId="3">[1]Inputs!$I$20</definedName>
    <definedName name="FILENAME" localSheetId="6">[1]Inputs!$I$20</definedName>
    <definedName name="FILENAME">[2]Inputs!$I$20</definedName>
    <definedName name="FVMT" localSheetId="3">[1]TravCalcs!$T$49</definedName>
    <definedName name="FVMT" localSheetId="6">[1]TravCalcs!$T$49</definedName>
    <definedName name="FVMT">[2]TravCalcs!$T$49</definedName>
    <definedName name="FVMTOP" localSheetId="3">[1]TravCalcs!$T$56</definedName>
    <definedName name="FVMTOP" localSheetId="6">[1]TravCalcs!$T$56</definedName>
    <definedName name="FVMTOP">[2]TravCalcs!$T$56</definedName>
    <definedName name="FVMTPP" localSheetId="3">[1]TravCalcs!$T$55</definedName>
    <definedName name="FVMTPP" localSheetId="6">[1]TravCalcs!$T$55</definedName>
    <definedName name="FVMTPP">[2]TravCalcs!$T$55</definedName>
    <definedName name="MSOPT" localSheetId="3">[1]Inputs!$X$62</definedName>
    <definedName name="MSOPT" localSheetId="6">[1]Inputs!$X$62</definedName>
    <definedName name="MSOPT">[2]Inputs!$X$62</definedName>
    <definedName name="PEAKLENA" localSheetId="3">[1]Defaults!$J$103:$J$109</definedName>
    <definedName name="PEAKLENA" localSheetId="6">[1]Defaults!$J$103:$J$109</definedName>
    <definedName name="PEAKLENA">[2]Defaults!$J$103:$J$109</definedName>
    <definedName name="_xlnm.Print_Area" localSheetId="0">'2.1_ATMS'!$A$1:$H$87</definedName>
    <definedName name="_xlnm.Print_Area" localSheetId="1">'2.2_Signal Synchronization'!$A$1:$K$118</definedName>
    <definedName name="_xlnm.Print_Area" localSheetId="2">'2.3_Int.-Roundabout'!$A$1:$H$78</definedName>
    <definedName name="_xlnm.Print_Area" localSheetId="3">'3.1_Transit-TransitTech'!$A$1:$H$108</definedName>
    <definedName name="_xlnm.Print_Area" localSheetId="4">'4.1_Bike-Ped-Transit'!$A$1:$H$115</definedName>
    <definedName name="_xlnm.Print_Area" localSheetId="5">'4.2_Reg. Significant Bike-Ped'!$A$1:$H$121</definedName>
    <definedName name="_xlnm.Print_Area" localSheetId="6">'4.3 Carpool-Vanpool'!$A$1:$H$94</definedName>
    <definedName name="_xlnm.Print_Area" localSheetId="10">'Sources &amp; Comments'!$A$1:$D$41</definedName>
    <definedName name="PROGAWS" localSheetId="0">'[3]Moving Cooler unit impacts'!#REF!</definedName>
    <definedName name="PROGAWS" localSheetId="8">'[3]Moving Cooler unit impacts'!#REF!</definedName>
    <definedName name="PROGAWS" localSheetId="3">'[4]Moving Cooler unit impacts'!#REF!</definedName>
    <definedName name="PROGAWS" localSheetId="5">'[3]Moving Cooler unit impacts'!#REF!</definedName>
    <definedName name="PROGAWS" localSheetId="6">'[4]Moving Cooler unit impacts'!#REF!</definedName>
    <definedName name="PROGAWS">'[3]Moving Cooler unit impacts'!#REF!</definedName>
    <definedName name="Propensity">OtherVariables!$C$136:$H$140</definedName>
    <definedName name="Scenarios">[5]UserAssumptions!$C$2:$C$4</definedName>
    <definedName name="SCOPE" localSheetId="3">[1]Inputs!$I$34</definedName>
    <definedName name="SCOPE" localSheetId="6">[1]Inputs!$I$34</definedName>
    <definedName name="SCOPE">[2]Inputs!$I$34</definedName>
    <definedName name="SCOPETBL" localSheetId="3">[1]Defaults!$AS$223:$AT$224</definedName>
    <definedName name="SCOPETBL" localSheetId="6">[1]Defaults!$AS$223:$AT$224</definedName>
    <definedName name="SCOPETBL">[2]Defaults!$AS$223:$AT$224</definedName>
    <definedName name="SHIFTPER" localSheetId="3">[1]Defaults!$K$103:$K$109</definedName>
    <definedName name="SHIFTPER" localSheetId="6">[1]Defaults!$K$103:$K$109</definedName>
    <definedName name="SHIFTPER">[2]Defaults!$K$103:$K$109</definedName>
    <definedName name="Speed">OtherVariables!$B$27:$E$38</definedName>
    <definedName name="TRIP1" localSheetId="3">[1]TravCalcs!$N$49</definedName>
    <definedName name="TRIP1" localSheetId="6">[1]TravCalcs!$N$49</definedName>
    <definedName name="TRIP1">[2]TravCalcs!$N$49</definedName>
    <definedName name="TRIP1O" localSheetId="3">[1]TravCalcs!$N$56</definedName>
    <definedName name="TRIP1O" localSheetId="6">[1]TravCalcs!$N$56</definedName>
    <definedName name="TRIP1O">[2]TravCalcs!$N$56</definedName>
    <definedName name="TRIP1P" localSheetId="3">[1]TravCalcs!$N$55</definedName>
    <definedName name="TRIP1P" localSheetId="6">[1]TravCalcs!$N$55</definedName>
    <definedName name="TRIP1P">[2]TravCalcs!$N$55</definedName>
    <definedName name="TRIP2" localSheetId="3">[1]TravCalcs!$O$49</definedName>
    <definedName name="TRIP2" localSheetId="6">[1]TravCalcs!$O$49</definedName>
    <definedName name="TRIP2">[2]TravCalcs!$O$49</definedName>
    <definedName name="TRIP2O" localSheetId="3">[1]TravCalcs!$O$56</definedName>
    <definedName name="TRIP2O" localSheetId="6">[1]TravCalcs!$O$56</definedName>
    <definedName name="TRIP2O">[2]TravCalcs!$O$56</definedName>
    <definedName name="TRIP2P" localSheetId="3">[1]TravCalcs!$O$55</definedName>
    <definedName name="TRIP2P" localSheetId="6">[1]TravCalcs!$O$55</definedName>
    <definedName name="TRIP2P">[2]TravCalcs!$O$55</definedName>
    <definedName name="UEFFILE" localSheetId="3">[1]Inputs!$I$21</definedName>
    <definedName name="UEFFILE" localSheetId="6">[1]Inputs!$I$21</definedName>
    <definedName name="UEFFILE">[2]Inputs!$I$21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37" l="1"/>
  <c r="F41" i="37"/>
  <c r="F40" i="37"/>
  <c r="F39" i="37"/>
  <c r="F38" i="37"/>
  <c r="F37" i="37"/>
  <c r="F36" i="37"/>
  <c r="F35" i="37"/>
  <c r="F51" i="37" l="1"/>
  <c r="F43" i="37" l="1"/>
  <c r="F44" i="37"/>
  <c r="F45" i="37"/>
  <c r="F46" i="37"/>
  <c r="F47" i="37"/>
  <c r="F34" i="37"/>
  <c r="I32" i="76" l="1"/>
  <c r="G31" i="76"/>
  <c r="I31" i="76" s="1"/>
  <c r="I30" i="76"/>
  <c r="I33" i="76"/>
  <c r="I34" i="76"/>
  <c r="I35" i="76"/>
  <c r="I36" i="76"/>
  <c r="I37" i="76"/>
  <c r="I38" i="76"/>
  <c r="I39" i="76"/>
  <c r="I40" i="76"/>
  <c r="I41" i="76"/>
  <c r="I42" i="76"/>
  <c r="F77" i="76"/>
  <c r="F30" i="76"/>
  <c r="F25" i="76" l="1"/>
  <c r="F34" i="102" l="1"/>
  <c r="F35" i="102"/>
  <c r="F36" i="102"/>
  <c r="F37" i="102"/>
  <c r="F38" i="102"/>
  <c r="F39" i="102"/>
  <c r="F33" i="102"/>
  <c r="F26" i="102"/>
  <c r="F27" i="102"/>
  <c r="F28" i="102"/>
  <c r="F29" i="102"/>
  <c r="F30" i="102"/>
  <c r="F31" i="102"/>
  <c r="F25" i="102"/>
  <c r="F39" i="91"/>
  <c r="F40" i="91"/>
  <c r="F41" i="91"/>
  <c r="F42" i="91"/>
  <c r="F43" i="91"/>
  <c r="F44" i="91"/>
  <c r="F38" i="91"/>
  <c r="F33" i="81"/>
  <c r="F34" i="81"/>
  <c r="F35" i="81"/>
  <c r="F36" i="81"/>
  <c r="F37" i="81"/>
  <c r="F38" i="81"/>
  <c r="F32" i="81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17" i="37"/>
  <c r="F23" i="100"/>
  <c r="F24" i="100"/>
  <c r="F25" i="100"/>
  <c r="F26" i="100"/>
  <c r="F27" i="100"/>
  <c r="F28" i="100"/>
  <c r="F29" i="100"/>
  <c r="F30" i="100"/>
  <c r="F31" i="100"/>
  <c r="F32" i="100"/>
  <c r="F33" i="100"/>
  <c r="F34" i="100"/>
  <c r="F35" i="100"/>
  <c r="F22" i="100"/>
  <c r="F21" i="76"/>
  <c r="F23" i="76"/>
  <c r="F24" i="76" l="1"/>
  <c r="I24" i="76"/>
  <c r="I25" i="76"/>
  <c r="X124" i="79" l="1"/>
  <c r="B76" i="79" l="1"/>
  <c r="B77" i="79"/>
  <c r="B78" i="79"/>
  <c r="B79" i="79"/>
  <c r="B75" i="79"/>
  <c r="X127" i="79"/>
  <c r="Q128" i="79" s="1"/>
  <c r="R128" i="79" s="1"/>
  <c r="X126" i="79"/>
  <c r="X125" i="79"/>
  <c r="E128" i="79"/>
  <c r="W124" i="79" s="1"/>
  <c r="E127" i="79"/>
  <c r="W125" i="79" s="1"/>
  <c r="Q124" i="79" s="1"/>
  <c r="R124" i="79" s="1"/>
  <c r="S124" i="79" s="1"/>
  <c r="E125" i="79"/>
  <c r="W126" i="79" s="1"/>
  <c r="E124" i="79"/>
  <c r="W127" i="79" s="1"/>
  <c r="D33" i="79"/>
  <c r="E33" i="79"/>
  <c r="C33" i="79"/>
  <c r="K33" i="79"/>
  <c r="L33" i="79"/>
  <c r="J33" i="79"/>
  <c r="L91" i="79"/>
  <c r="K91" i="79"/>
  <c r="J91" i="79"/>
  <c r="K18" i="79"/>
  <c r="L18" i="79"/>
  <c r="M18" i="79"/>
  <c r="N18" i="79"/>
  <c r="J18" i="79"/>
  <c r="D18" i="79"/>
  <c r="E18" i="79"/>
  <c r="F18" i="79"/>
  <c r="G18" i="79"/>
  <c r="C18" i="79"/>
  <c r="Q126" i="79" l="1"/>
  <c r="R126" i="79" s="1"/>
  <c r="Q125" i="79"/>
  <c r="R125" i="79" s="1"/>
  <c r="S125" i="79" s="1"/>
  <c r="C122" i="79" s="1"/>
  <c r="C76" i="79" s="1"/>
  <c r="Q127" i="79"/>
  <c r="R127" i="79" s="1"/>
  <c r="S128" i="79"/>
  <c r="C125" i="79" s="1"/>
  <c r="C79" i="79" s="1"/>
  <c r="T128" i="79"/>
  <c r="D125" i="79" s="1"/>
  <c r="D40" i="81"/>
  <c r="S126" i="79" l="1"/>
  <c r="C123" i="79" s="1"/>
  <c r="C77" i="79" s="1"/>
  <c r="T126" i="79"/>
  <c r="D123" i="79" s="1"/>
  <c r="D77" i="79" s="1"/>
  <c r="C121" i="79"/>
  <c r="C75" i="79" s="1"/>
  <c r="T124" i="79"/>
  <c r="D121" i="79" s="1"/>
  <c r="D75" i="79" s="1"/>
  <c r="T127" i="79"/>
  <c r="D124" i="79" s="1"/>
  <c r="D78" i="79" s="1"/>
  <c r="S127" i="79"/>
  <c r="C124" i="79" s="1"/>
  <c r="C78" i="79" s="1"/>
  <c r="T125" i="79"/>
  <c r="D122" i="79" s="1"/>
  <c r="D76" i="79" s="1"/>
  <c r="F33" i="20"/>
  <c r="F42" i="20" s="1"/>
  <c r="D79" i="79"/>
  <c r="F53" i="102" l="1"/>
  <c r="F46" i="102"/>
  <c r="F21" i="102"/>
  <c r="E46" i="81" l="1"/>
  <c r="E45" i="81"/>
  <c r="E44" i="81"/>
  <c r="E43" i="81"/>
  <c r="E42" i="81"/>
  <c r="E41" i="81"/>
  <c r="E40" i="81"/>
  <c r="F40" i="81" s="1"/>
  <c r="D46" i="81"/>
  <c r="D45" i="81"/>
  <c r="D44" i="81"/>
  <c r="F44" i="81" s="1"/>
  <c r="D43" i="81"/>
  <c r="F43" i="81" s="1"/>
  <c r="D42" i="81"/>
  <c r="F42" i="81" s="1"/>
  <c r="D41" i="81"/>
  <c r="E32" i="81"/>
  <c r="D32" i="81"/>
  <c r="F41" i="81" l="1"/>
  <c r="F45" i="81"/>
  <c r="F46" i="81"/>
  <c r="F83" i="81" s="1"/>
  <c r="F82" i="81"/>
  <c r="F43" i="102"/>
  <c r="F44" i="102" s="1"/>
  <c r="E22" i="100"/>
  <c r="E39" i="102"/>
  <c r="E38" i="102"/>
  <c r="E37" i="102"/>
  <c r="E36" i="102"/>
  <c r="E35" i="102"/>
  <c r="E34" i="102"/>
  <c r="E33" i="102"/>
  <c r="D39" i="102"/>
  <c r="D38" i="102"/>
  <c r="D37" i="102"/>
  <c r="D36" i="102"/>
  <c r="D35" i="102"/>
  <c r="D34" i="102"/>
  <c r="E31" i="102"/>
  <c r="E30" i="102"/>
  <c r="E29" i="102"/>
  <c r="E28" i="102"/>
  <c r="E27" i="102"/>
  <c r="E26" i="102"/>
  <c r="D31" i="102"/>
  <c r="D30" i="102"/>
  <c r="D29" i="102"/>
  <c r="D28" i="102"/>
  <c r="D27" i="102"/>
  <c r="D26" i="102"/>
  <c r="D33" i="102"/>
  <c r="E25" i="102"/>
  <c r="D25" i="102"/>
  <c r="E17" i="91"/>
  <c r="D17" i="91"/>
  <c r="E44" i="91"/>
  <c r="E43" i="91"/>
  <c r="D44" i="91"/>
  <c r="D43" i="91"/>
  <c r="E42" i="91"/>
  <c r="D42" i="91"/>
  <c r="E41" i="91"/>
  <c r="D41" i="91"/>
  <c r="E40" i="91"/>
  <c r="D40" i="91"/>
  <c r="E39" i="91"/>
  <c r="D39" i="91"/>
  <c r="E38" i="91"/>
  <c r="D38" i="91"/>
  <c r="E13" i="37"/>
  <c r="D13" i="37"/>
  <c r="E38" i="81"/>
  <c r="E37" i="81"/>
  <c r="E36" i="81"/>
  <c r="E35" i="81"/>
  <c r="E34" i="81"/>
  <c r="E33" i="81"/>
  <c r="D38" i="81"/>
  <c r="D37" i="81"/>
  <c r="D36" i="81"/>
  <c r="D35" i="81"/>
  <c r="D34" i="81"/>
  <c r="D33" i="81"/>
  <c r="D29" i="37"/>
  <c r="E29" i="37"/>
  <c r="D30" i="37"/>
  <c r="E30" i="37"/>
  <c r="D22" i="37"/>
  <c r="E22" i="37"/>
  <c r="D23" i="37"/>
  <c r="E23" i="37"/>
  <c r="E34" i="100"/>
  <c r="E35" i="100"/>
  <c r="D35" i="100"/>
  <c r="D34" i="100"/>
  <c r="E27" i="100"/>
  <c r="E28" i="100"/>
  <c r="D27" i="100"/>
  <c r="D28" i="100"/>
  <c r="D22" i="100"/>
  <c r="F45" i="102" l="1"/>
  <c r="F47" i="102" s="1"/>
  <c r="F50" i="102" l="1"/>
  <c r="F48" i="102" l="1"/>
  <c r="F46" i="20" l="1"/>
  <c r="F39" i="100" l="1"/>
  <c r="F51" i="102" l="1"/>
  <c r="F52" i="102" l="1"/>
  <c r="F54" i="102" s="1"/>
  <c r="F55" i="102" s="1"/>
  <c r="F60" i="102" s="1"/>
  <c r="F40" i="100" l="1"/>
  <c r="F41" i="100"/>
  <c r="F55" i="100" l="1"/>
  <c r="F56" i="100"/>
  <c r="F48" i="100"/>
  <c r="F49" i="100"/>
  <c r="F69" i="100" l="1"/>
  <c r="F82" i="100" s="1"/>
  <c r="F70" i="100"/>
  <c r="F77" i="100" s="1"/>
  <c r="F85" i="100" s="1"/>
  <c r="F76" i="100" l="1"/>
  <c r="J97" i="79"/>
  <c r="J96" i="79"/>
  <c r="J95" i="79"/>
  <c r="J94" i="79"/>
  <c r="J93" i="79"/>
  <c r="J92" i="79"/>
  <c r="J90" i="79"/>
  <c r="J89" i="79"/>
  <c r="J88" i="79"/>
  <c r="J87" i="79"/>
  <c r="F60" i="37" l="1"/>
  <c r="F67" i="37" s="1"/>
  <c r="F61" i="37"/>
  <c r="F68" i="37" s="1"/>
  <c r="F76" i="37" s="1"/>
  <c r="F33" i="91"/>
  <c r="F34" i="91"/>
  <c r="F36" i="20"/>
  <c r="F35" i="20"/>
  <c r="F54" i="91" l="1"/>
  <c r="F53" i="91"/>
  <c r="F29" i="91"/>
  <c r="F28" i="91"/>
  <c r="F47" i="20"/>
  <c r="F49" i="20" s="1"/>
  <c r="F51" i="20" s="1"/>
  <c r="F31" i="20"/>
  <c r="F30" i="20"/>
  <c r="F29" i="81"/>
  <c r="F28" i="81"/>
  <c r="F50" i="81"/>
  <c r="E28" i="37"/>
  <c r="D28" i="37"/>
  <c r="E27" i="37"/>
  <c r="D27" i="37"/>
  <c r="E26" i="37"/>
  <c r="D26" i="37"/>
  <c r="E25" i="37"/>
  <c r="D25" i="37"/>
  <c r="E24" i="37"/>
  <c r="D24" i="37"/>
  <c r="E21" i="37"/>
  <c r="D21" i="37"/>
  <c r="E20" i="37"/>
  <c r="D20" i="37"/>
  <c r="E19" i="37"/>
  <c r="D19" i="37"/>
  <c r="E18" i="37"/>
  <c r="D18" i="37"/>
  <c r="E17" i="37"/>
  <c r="D17" i="37"/>
  <c r="F16" i="37"/>
  <c r="I23" i="76"/>
  <c r="D29" i="76"/>
  <c r="I22" i="76"/>
  <c r="F22" i="76"/>
  <c r="I21" i="76"/>
  <c r="I91" i="76"/>
  <c r="E33" i="100"/>
  <c r="D33" i="100"/>
  <c r="E32" i="100"/>
  <c r="D32" i="100"/>
  <c r="E31" i="100"/>
  <c r="D31" i="100"/>
  <c r="E30" i="100"/>
  <c r="D30" i="100"/>
  <c r="E29" i="100"/>
  <c r="D29" i="100"/>
  <c r="E26" i="100"/>
  <c r="D26" i="100"/>
  <c r="E25" i="100"/>
  <c r="D25" i="100"/>
  <c r="E24" i="100"/>
  <c r="D24" i="100"/>
  <c r="E23" i="100"/>
  <c r="D23" i="100"/>
  <c r="F48" i="91" l="1"/>
  <c r="E51" i="20"/>
  <c r="D51" i="20"/>
  <c r="F51" i="81"/>
  <c r="E50" i="76"/>
  <c r="D56" i="76"/>
  <c r="F56" i="76" s="1"/>
  <c r="D57" i="76"/>
  <c r="D50" i="76"/>
  <c r="D49" i="76"/>
  <c r="E56" i="76"/>
  <c r="E57" i="76"/>
  <c r="E49" i="76"/>
  <c r="G38" i="76"/>
  <c r="H35" i="76"/>
  <c r="G41" i="76"/>
  <c r="G33" i="76"/>
  <c r="G42" i="76"/>
  <c r="G35" i="76"/>
  <c r="H41" i="76"/>
  <c r="H42" i="76"/>
  <c r="G34" i="76"/>
  <c r="H34" i="76"/>
  <c r="E42" i="76"/>
  <c r="E34" i="76"/>
  <c r="D34" i="76"/>
  <c r="F34" i="76" s="1"/>
  <c r="D42" i="76"/>
  <c r="F42" i="76" s="1"/>
  <c r="E35" i="76"/>
  <c r="E41" i="76"/>
  <c r="D33" i="76"/>
  <c r="D41" i="76"/>
  <c r="F41" i="76" s="1"/>
  <c r="D35" i="76"/>
  <c r="F35" i="76" s="1"/>
  <c r="E33" i="76"/>
  <c r="G30" i="76"/>
  <c r="G40" i="76"/>
  <c r="G36" i="76"/>
  <c r="G37" i="76"/>
  <c r="G47" i="76"/>
  <c r="E52" i="76"/>
  <c r="E46" i="76"/>
  <c r="D54" i="76"/>
  <c r="D48" i="76"/>
  <c r="D44" i="76"/>
  <c r="E55" i="76"/>
  <c r="E51" i="76"/>
  <c r="E45" i="76"/>
  <c r="D53" i="76"/>
  <c r="D47" i="76"/>
  <c r="F47" i="76" s="1"/>
  <c r="E54" i="76"/>
  <c r="E48" i="76"/>
  <c r="E44" i="76"/>
  <c r="D52" i="76"/>
  <c r="F52" i="76" s="1"/>
  <c r="D46" i="76"/>
  <c r="F46" i="76" s="1"/>
  <c r="E53" i="76"/>
  <c r="E47" i="76"/>
  <c r="D55" i="76"/>
  <c r="D51" i="76"/>
  <c r="D45" i="76"/>
  <c r="E37" i="76"/>
  <c r="E31" i="76"/>
  <c r="D39" i="76"/>
  <c r="E40" i="76"/>
  <c r="E36" i="76"/>
  <c r="E30" i="76"/>
  <c r="D38" i="76"/>
  <c r="F38" i="76" s="1"/>
  <c r="D32" i="76"/>
  <c r="F32" i="76" s="1"/>
  <c r="E39" i="76"/>
  <c r="E29" i="76"/>
  <c r="F29" i="76" s="1"/>
  <c r="D37" i="76"/>
  <c r="F37" i="76" s="1"/>
  <c r="D31" i="76"/>
  <c r="F31" i="76" s="1"/>
  <c r="E38" i="76"/>
  <c r="E32" i="76"/>
  <c r="D40" i="76"/>
  <c r="D36" i="76"/>
  <c r="D30" i="76"/>
  <c r="G32" i="76"/>
  <c r="H40" i="76"/>
  <c r="H36" i="76"/>
  <c r="H30" i="76"/>
  <c r="H39" i="76"/>
  <c r="H33" i="76"/>
  <c r="H29" i="76"/>
  <c r="H38" i="76"/>
  <c r="H32" i="76"/>
  <c r="H37" i="76"/>
  <c r="H31" i="76"/>
  <c r="G29" i="76"/>
  <c r="G39" i="76"/>
  <c r="F56" i="91"/>
  <c r="F40" i="20"/>
  <c r="F60" i="100"/>
  <c r="F41" i="20"/>
  <c r="F49" i="91"/>
  <c r="F33" i="76" l="1"/>
  <c r="F63" i="76" s="1"/>
  <c r="I69" i="76"/>
  <c r="F39" i="76"/>
  <c r="F69" i="76" s="1"/>
  <c r="F36" i="76"/>
  <c r="F66" i="76" s="1"/>
  <c r="F40" i="76"/>
  <c r="I29" i="76"/>
  <c r="I59" i="76" s="1"/>
  <c r="I63" i="76"/>
  <c r="I61" i="76"/>
  <c r="F53" i="76"/>
  <c r="F48" i="76"/>
  <c r="F51" i="76"/>
  <c r="F54" i="76"/>
  <c r="F49" i="76"/>
  <c r="F45" i="76"/>
  <c r="F55" i="76"/>
  <c r="F50" i="76"/>
  <c r="F80" i="76" s="1"/>
  <c r="F44" i="76"/>
  <c r="F57" i="76"/>
  <c r="F87" i="76" s="1"/>
  <c r="F55" i="37"/>
  <c r="F72" i="76"/>
  <c r="I72" i="76"/>
  <c r="F71" i="76"/>
  <c r="I71" i="76"/>
  <c r="I62" i="76"/>
  <c r="F62" i="76"/>
  <c r="F64" i="76"/>
  <c r="I64" i="76"/>
  <c r="F68" i="76"/>
  <c r="I68" i="76"/>
  <c r="F59" i="76"/>
  <c r="F65" i="76"/>
  <c r="F60" i="76"/>
  <c r="I60" i="76"/>
  <c r="I66" i="76"/>
  <c r="F70" i="76"/>
  <c r="I70" i="76"/>
  <c r="F79" i="76"/>
  <c r="F86" i="76"/>
  <c r="I67" i="76"/>
  <c r="G48" i="76"/>
  <c r="I48" i="76" s="1"/>
  <c r="I65" i="76"/>
  <c r="F96" i="91"/>
  <c r="F58" i="91"/>
  <c r="E58" i="91" s="1"/>
  <c r="D54" i="20"/>
  <c r="D59" i="20"/>
  <c r="D60" i="20"/>
  <c r="D58" i="20"/>
  <c r="E60" i="20"/>
  <c r="E59" i="20"/>
  <c r="F46" i="100"/>
  <c r="F47" i="100"/>
  <c r="F52" i="81"/>
  <c r="F57" i="81"/>
  <c r="F63" i="81" s="1"/>
  <c r="F70" i="81" s="1"/>
  <c r="F58" i="81"/>
  <c r="H47" i="76"/>
  <c r="I47" i="76" s="1"/>
  <c r="G57" i="76"/>
  <c r="I57" i="76" s="1"/>
  <c r="G49" i="76"/>
  <c r="I49" i="76" s="1"/>
  <c r="H50" i="76"/>
  <c r="H56" i="76"/>
  <c r="H57" i="76"/>
  <c r="G50" i="76"/>
  <c r="H49" i="76"/>
  <c r="G56" i="76"/>
  <c r="I56" i="76" s="1"/>
  <c r="H45" i="76"/>
  <c r="H55" i="76"/>
  <c r="G54" i="76"/>
  <c r="I54" i="76" s="1"/>
  <c r="G52" i="76"/>
  <c r="H52" i="76"/>
  <c r="G51" i="76"/>
  <c r="I51" i="76" s="1"/>
  <c r="H48" i="76"/>
  <c r="H53" i="76"/>
  <c r="G53" i="76"/>
  <c r="I53" i="76" s="1"/>
  <c r="G55" i="76"/>
  <c r="I55" i="76" s="1"/>
  <c r="G46" i="76"/>
  <c r="I46" i="76" s="1"/>
  <c r="H54" i="76"/>
  <c r="H46" i="76"/>
  <c r="G45" i="76"/>
  <c r="G44" i="76"/>
  <c r="H44" i="76"/>
  <c r="H51" i="76"/>
  <c r="F43" i="100"/>
  <c r="F44" i="100"/>
  <c r="F50" i="100"/>
  <c r="F51" i="100"/>
  <c r="F54" i="100"/>
  <c r="F45" i="100"/>
  <c r="F53" i="100"/>
  <c r="F52" i="100"/>
  <c r="F61" i="76"/>
  <c r="F67" i="76"/>
  <c r="F89" i="20"/>
  <c r="E57" i="20"/>
  <c r="D56" i="20"/>
  <c r="D57" i="20"/>
  <c r="F57" i="20" s="1"/>
  <c r="D55" i="20"/>
  <c r="F50" i="91"/>
  <c r="F43" i="20"/>
  <c r="I50" i="76" l="1"/>
  <c r="I80" i="76" s="1"/>
  <c r="I52" i="76"/>
  <c r="I45" i="76"/>
  <c r="I44" i="76"/>
  <c r="I74" i="76" s="1"/>
  <c r="F60" i="20"/>
  <c r="F76" i="20" s="1"/>
  <c r="F59" i="20"/>
  <c r="F75" i="20" s="1"/>
  <c r="F58" i="37"/>
  <c r="F65" i="37" s="1"/>
  <c r="F74" i="37" s="1"/>
  <c r="F62" i="37"/>
  <c r="I83" i="76"/>
  <c r="I77" i="76"/>
  <c r="I82" i="76"/>
  <c r="I84" i="76"/>
  <c r="I78" i="76"/>
  <c r="F68" i="100"/>
  <c r="F81" i="100" s="1"/>
  <c r="F91" i="81"/>
  <c r="F98" i="81" s="1"/>
  <c r="F106" i="81" s="1"/>
  <c r="F90" i="81"/>
  <c r="F97" i="81" s="1"/>
  <c r="F66" i="100"/>
  <c r="F73" i="100" s="1"/>
  <c r="F65" i="100"/>
  <c r="F72" i="100" s="1"/>
  <c r="F56" i="37"/>
  <c r="F63" i="37" s="1"/>
  <c r="I75" i="76"/>
  <c r="F57" i="37"/>
  <c r="F59" i="37"/>
  <c r="F66" i="37" s="1"/>
  <c r="F75" i="37" s="1"/>
  <c r="F67" i="100"/>
  <c r="F74" i="100" s="1"/>
  <c r="F83" i="100" s="1"/>
  <c r="F64" i="100"/>
  <c r="F71" i="100" s="1"/>
  <c r="F64" i="81"/>
  <c r="F71" i="81" s="1"/>
  <c r="E64" i="91"/>
  <c r="E67" i="91"/>
  <c r="E63" i="91"/>
  <c r="E66" i="91"/>
  <c r="E62" i="91"/>
  <c r="E61" i="91"/>
  <c r="E65" i="91"/>
  <c r="D58" i="91"/>
  <c r="F62" i="81"/>
  <c r="F69" i="81" s="1"/>
  <c r="F61" i="81"/>
  <c r="F68" i="81" s="1"/>
  <c r="F67" i="81"/>
  <c r="F74" i="81" s="1"/>
  <c r="F66" i="81"/>
  <c r="F73" i="81" s="1"/>
  <c r="F65" i="81"/>
  <c r="F72" i="81" s="1"/>
  <c r="I86" i="76"/>
  <c r="I79" i="76"/>
  <c r="I87" i="76"/>
  <c r="I85" i="76"/>
  <c r="I81" i="76"/>
  <c r="I76" i="76"/>
  <c r="I97" i="76" s="1"/>
  <c r="F81" i="76"/>
  <c r="F74" i="76"/>
  <c r="F84" i="76"/>
  <c r="F83" i="76"/>
  <c r="F76" i="76"/>
  <c r="F75" i="76"/>
  <c r="F85" i="76"/>
  <c r="F78" i="76"/>
  <c r="F82" i="76"/>
  <c r="F44" i="20"/>
  <c r="F45" i="20" s="1"/>
  <c r="F48" i="20" s="1"/>
  <c r="F50" i="20" s="1"/>
  <c r="F88" i="20" s="1"/>
  <c r="E54" i="20"/>
  <c r="F54" i="20" s="1"/>
  <c r="E58" i="20"/>
  <c r="F58" i="20" s="1"/>
  <c r="F73" i="20"/>
  <c r="E55" i="20"/>
  <c r="F55" i="20" s="1"/>
  <c r="E56" i="20"/>
  <c r="F56" i="20" s="1"/>
  <c r="F51" i="91"/>
  <c r="F52" i="91" s="1"/>
  <c r="F55" i="91" s="1"/>
  <c r="F57" i="91" s="1"/>
  <c r="F59" i="91" s="1"/>
  <c r="I95" i="76" l="1"/>
  <c r="F71" i="20"/>
  <c r="F70" i="20"/>
  <c r="F72" i="20"/>
  <c r="F74" i="20"/>
  <c r="F75" i="100"/>
  <c r="F84" i="100" s="1"/>
  <c r="I100" i="76"/>
  <c r="I107" i="76" s="1"/>
  <c r="I104" i="76"/>
  <c r="I98" i="76"/>
  <c r="I105" i="76" s="1"/>
  <c r="I114" i="76" s="1"/>
  <c r="I102" i="76"/>
  <c r="F72" i="37"/>
  <c r="I99" i="76"/>
  <c r="I106" i="76" s="1"/>
  <c r="I115" i="76" s="1"/>
  <c r="I101" i="76"/>
  <c r="I108" i="76" s="1"/>
  <c r="I116" i="76" s="1"/>
  <c r="I96" i="76"/>
  <c r="I103" i="76" s="1"/>
  <c r="F64" i="37"/>
  <c r="F73" i="37"/>
  <c r="D66" i="91"/>
  <c r="F66" i="91" s="1"/>
  <c r="F82" i="91" s="1"/>
  <c r="D62" i="91"/>
  <c r="F62" i="91" s="1"/>
  <c r="F78" i="91" s="1"/>
  <c r="D65" i="91"/>
  <c r="F65" i="91" s="1"/>
  <c r="F81" i="91" s="1"/>
  <c r="D64" i="91"/>
  <c r="F64" i="91" s="1"/>
  <c r="F80" i="91" s="1"/>
  <c r="D67" i="91"/>
  <c r="F67" i="91" s="1"/>
  <c r="F83" i="91" s="1"/>
  <c r="D63" i="91"/>
  <c r="F63" i="91" s="1"/>
  <c r="F79" i="91" s="1"/>
  <c r="D61" i="91"/>
  <c r="F61" i="91" s="1"/>
  <c r="F77" i="91" s="1"/>
  <c r="F95" i="91"/>
  <c r="D59" i="91"/>
  <c r="E59" i="91"/>
  <c r="F52" i="20"/>
  <c r="E52" i="20" s="1"/>
  <c r="I113" i="76" l="1"/>
  <c r="I112" i="76"/>
  <c r="D73" i="91"/>
  <c r="D75" i="91"/>
  <c r="D71" i="91"/>
  <c r="D69" i="91"/>
  <c r="D74" i="91"/>
  <c r="D70" i="91"/>
  <c r="D72" i="91"/>
  <c r="E75" i="91"/>
  <c r="E71" i="91"/>
  <c r="E74" i="91"/>
  <c r="E70" i="91"/>
  <c r="E69" i="91"/>
  <c r="E73" i="91"/>
  <c r="E72" i="91"/>
  <c r="E68" i="20"/>
  <c r="E66" i="20"/>
  <c r="E67" i="20"/>
  <c r="D52" i="20"/>
  <c r="E63" i="20"/>
  <c r="E64" i="20"/>
  <c r="E65" i="20"/>
  <c r="E62" i="20"/>
  <c r="F71" i="91" l="1"/>
  <c r="F87" i="91" s="1"/>
  <c r="F101" i="91" s="1"/>
  <c r="F72" i="91"/>
  <c r="F88" i="91" s="1"/>
  <c r="F102" i="91" s="1"/>
  <c r="F109" i="91" s="1"/>
  <c r="F118" i="91" s="1"/>
  <c r="F69" i="91"/>
  <c r="F85" i="91" s="1"/>
  <c r="F99" i="91" s="1"/>
  <c r="F106" i="91" s="1"/>
  <c r="F70" i="91"/>
  <c r="F86" i="91" s="1"/>
  <c r="F100" i="91" s="1"/>
  <c r="F75" i="91"/>
  <c r="F91" i="91" s="1"/>
  <c r="F105" i="91" s="1"/>
  <c r="F112" i="91" s="1"/>
  <c r="F120" i="91" s="1"/>
  <c r="F74" i="91"/>
  <c r="F90" i="91" s="1"/>
  <c r="F104" i="91" s="1"/>
  <c r="F111" i="91" s="1"/>
  <c r="F73" i="91"/>
  <c r="F89" i="91" s="1"/>
  <c r="F103" i="91" s="1"/>
  <c r="F110" i="91" s="1"/>
  <c r="F119" i="91" s="1"/>
  <c r="D62" i="20"/>
  <c r="D68" i="20"/>
  <c r="D67" i="20"/>
  <c r="D65" i="20"/>
  <c r="D66" i="20"/>
  <c r="D64" i="20"/>
  <c r="D63" i="20"/>
  <c r="F64" i="20" l="1"/>
  <c r="F80" i="20" s="1"/>
  <c r="F94" i="20" s="1"/>
  <c r="F66" i="20"/>
  <c r="F82" i="20" s="1"/>
  <c r="F96" i="20" s="1"/>
  <c r="F103" i="20" s="1"/>
  <c r="F112" i="20" s="1"/>
  <c r="F67" i="20"/>
  <c r="F83" i="20" s="1"/>
  <c r="F97" i="20" s="1"/>
  <c r="F104" i="20" s="1"/>
  <c r="F68" i="20"/>
  <c r="F84" i="20" s="1"/>
  <c r="F98" i="20" s="1"/>
  <c r="F105" i="20" s="1"/>
  <c r="F113" i="20" s="1"/>
  <c r="F63" i="20"/>
  <c r="F79" i="20" s="1"/>
  <c r="F93" i="20" s="1"/>
  <c r="F65" i="20"/>
  <c r="F81" i="20" s="1"/>
  <c r="F95" i="20" s="1"/>
  <c r="F102" i="20" s="1"/>
  <c r="F111" i="20" s="1"/>
  <c r="F62" i="20"/>
  <c r="F78" i="20" s="1"/>
  <c r="F92" i="20" s="1"/>
  <c r="F99" i="20" s="1"/>
  <c r="F107" i="91"/>
  <c r="F116" i="91"/>
  <c r="F108" i="91"/>
  <c r="F117" i="91"/>
  <c r="F77" i="81"/>
  <c r="F85" i="81" s="1"/>
  <c r="F92" i="81" s="1"/>
  <c r="F80" i="81"/>
  <c r="F88" i="81" s="1"/>
  <c r="F95" i="81" s="1"/>
  <c r="F104" i="81" s="1"/>
  <c r="F79" i="81"/>
  <c r="F87" i="81" s="1"/>
  <c r="F78" i="81"/>
  <c r="F86" i="81" s="1"/>
  <c r="F100" i="20" l="1"/>
  <c r="F109" i="20"/>
  <c r="F101" i="20"/>
  <c r="F110" i="20"/>
  <c r="F102" i="81"/>
  <c r="F93" i="81"/>
  <c r="F94" i="81"/>
  <c r="F103" i="81"/>
  <c r="F81" i="81"/>
  <c r="F89" i="81" s="1"/>
  <c r="F96" i="81" s="1"/>
  <c r="F105" i="81" s="1"/>
  <c r="F68" i="102" l="1"/>
  <c r="F76" i="102" s="1"/>
  <c r="F83" i="102" s="1"/>
  <c r="F69" i="102"/>
  <c r="F77" i="102" s="1"/>
  <c r="F84" i="102" s="1"/>
  <c r="F92" i="102" s="1"/>
  <c r="F63" i="102" l="1"/>
  <c r="F71" i="102" s="1"/>
  <c r="F78" i="102" s="1"/>
  <c r="F64" i="102"/>
  <c r="F72" i="102" s="1"/>
  <c r="F67" i="102"/>
  <c r="F75" i="102" s="1"/>
  <c r="F82" i="102" s="1"/>
  <c r="F91" i="102" s="1"/>
  <c r="F65" i="102"/>
  <c r="F73" i="102" s="1"/>
  <c r="F66" i="102"/>
  <c r="F74" i="102" s="1"/>
  <c r="F81" i="102" s="1"/>
  <c r="F90" i="102" s="1"/>
  <c r="F88" i="102" l="1"/>
  <c r="F79" i="102"/>
  <c r="F80" i="102"/>
  <c r="F89" i="1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Kall</author>
  </authors>
  <commentList>
    <comment ref="C8" authorId="0" shapeId="0" xr:uid="{00000000-0006-0000-0000-000001000000}">
      <text>
        <r>
          <rPr>
            <sz val="9"/>
            <color indexed="81"/>
            <rFont val="Tahoma"/>
            <family val="2"/>
          </rPr>
          <t>See delays associated with varying level of service for signalized intersections on the "Other Variables" tab</t>
        </r>
      </text>
    </comment>
    <comment ref="C9" authorId="0" shapeId="0" xr:uid="{00000000-0006-0000-0000-000002000000}">
      <text>
        <r>
          <rPr>
            <sz val="9"/>
            <color indexed="81"/>
            <rFont val="Tahoma"/>
            <family val="2"/>
          </rPr>
          <t>Not required butwill produce more accurate results if provided. If unknown, leave blank.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Windmiller</author>
  </authors>
  <commentList>
    <comment ref="C2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Lookup formulas for emission factors currently assume urban unrescricted access (MOVES Road Type 5).  Change Lookup Formula to reference column F (instead of H) if you want rural unrestricted access (MOVES Road Type 3)
</t>
        </r>
      </text>
    </comment>
    <comment ref="C3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Lookup formulas currently assume urban unrescricted access (MOVES Road Type 5).  Change Lookup Formula to reference column P (instead of R) if you want rural unrestricted access (MOVES Road Type 3)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Windmiller</author>
  </authors>
  <commentList>
    <comment ref="C13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If service is not available for AM Peak, put '0'
</t>
        </r>
      </text>
    </comment>
    <comment ref="C16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If service is not available for PM Peak, put '0'
</t>
        </r>
      </text>
    </comment>
    <comment ref="C19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If service is not available for Off-Peak, put '0'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Windmiller</author>
  </authors>
  <commentList>
    <comment ref="C8" authorId="0" shapeId="0" xr:uid="{00000000-0006-0000-0800-000001000000}">
      <text>
        <r>
          <rPr>
            <sz val="9"/>
            <color indexed="81"/>
            <rFont val="Tahoma"/>
            <family val="2"/>
          </rPr>
          <t>Provide sum of daily traffic volumes in both directions. 
Maximum of 30,000</t>
        </r>
      </text>
    </comment>
    <comment ref="C9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Use look-ups in OtherVariables Tab in this spreadsheet for guidance based on capacity by functional class
</t>
        </r>
      </text>
    </comment>
    <comment ref="C12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Should not give credit for less than 3 centers; 
Destinations examples: banks, churches, hospitals, park and ride, office parks, library, shopping, schools
</t>
        </r>
      </text>
    </comment>
    <comment ref="C18" authorId="0" shapeId="0" xr:uid="{00000000-0006-0000-0800-000004000000}">
      <text>
        <r>
          <rPr>
            <sz val="9"/>
            <color indexed="81"/>
            <rFont val="Tahoma"/>
            <family val="2"/>
          </rPr>
          <t>User defined; default value of 1.8
(http://www.dot.ga.gov/travelingingeorgia/bikepedestrian/Documents/Plans/ARC_BikePed_Plan_2007.pdf)</t>
        </r>
      </text>
    </comment>
    <comment ref="C21" authorId="0" shapeId="0" xr:uid="{00000000-0006-0000-0800-000005000000}">
      <text>
        <r>
          <rPr>
            <sz val="9"/>
            <color indexed="81"/>
            <rFont val="Tahoma"/>
            <family val="2"/>
          </rPr>
          <t>User defined; default value of 0.98 (NHTS 2009 Summary of Travel Trends)</t>
        </r>
      </text>
    </comment>
    <comment ref="C24" authorId="0" shapeId="0" xr:uid="{00000000-0006-0000-0800-000006000000}">
      <text>
        <r>
          <rPr>
            <sz val="9"/>
            <color indexed="81"/>
            <rFont val="Tahoma"/>
            <family val="2"/>
          </rPr>
          <t xml:space="preserve">User defined (values from APTA - 5.2 and FTA - 10.2)
</t>
        </r>
      </text>
    </comment>
    <comment ref="C26" authorId="0" shapeId="0" xr:uid="{00000000-0006-0000-0800-000007000000}">
      <text>
        <r>
          <rPr>
            <sz val="9"/>
            <color indexed="81"/>
            <rFont val="Tahoma"/>
            <family val="2"/>
          </rPr>
          <t xml:space="preserve">Enter Y or N. If no, access to bus is default.
</t>
        </r>
      </text>
    </comment>
    <comment ref="C32" authorId="0" shapeId="0" xr:uid="{00000000-0006-0000-0800-000008000000}">
      <text>
        <r>
          <rPr>
            <sz val="9"/>
            <color indexed="81"/>
            <rFont val="Tahoma"/>
            <family val="2"/>
          </rPr>
          <t>Reduced from 250 to consider local climate.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Windmiller</author>
  </authors>
  <commentList>
    <comment ref="C10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Use travel demand model to provide sum of daily trips from origin to destination and from destination back to origin.
</t>
        </r>
      </text>
    </comment>
    <comment ref="C11" authorId="0" shapeId="0" xr:uid="{00000000-0006-0000-0900-000002000000}">
      <text>
        <r>
          <rPr>
            <sz val="9"/>
            <color indexed="81"/>
            <rFont val="Tahoma"/>
            <family val="2"/>
          </rPr>
          <t>Use look-ups in OtherVariables Tab in this spreadsheet for guidance based on capacity by functional class</t>
        </r>
      </text>
    </comment>
    <comment ref="C13" authorId="0" shapeId="0" xr:uid="{00000000-0006-0000-0900-000003000000}">
      <text>
        <r>
          <rPr>
            <sz val="9"/>
            <color indexed="81"/>
            <rFont val="Tahoma"/>
            <family val="2"/>
          </rPr>
          <t>Should not give credit for less than 3 centers
Destinations examples: banks, churches, hospitals, park and ride, office parks, library, shopping, schools</t>
        </r>
      </text>
    </comment>
    <comment ref="C21" authorId="0" shapeId="0" xr:uid="{00000000-0006-0000-0900-000004000000}">
      <text>
        <r>
          <rPr>
            <sz val="9"/>
            <color indexed="81"/>
            <rFont val="Tahoma"/>
            <family val="2"/>
          </rPr>
          <t xml:space="preserve">User defined; default value of 1.8
</t>
        </r>
      </text>
    </comment>
    <comment ref="C24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User defined; default value of 0.98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<sst xmlns="http://schemas.openxmlformats.org/spreadsheetml/2006/main" count="1956" uniqueCount="515">
  <si>
    <t>Transit</t>
  </si>
  <si>
    <t>Constants</t>
  </si>
  <si>
    <t>Emission Factors</t>
  </si>
  <si>
    <t>A</t>
  </si>
  <si>
    <t>B</t>
  </si>
  <si>
    <t>C</t>
  </si>
  <si>
    <t>D</t>
  </si>
  <si>
    <t>E</t>
  </si>
  <si>
    <t>F</t>
  </si>
  <si>
    <t>Average Trip Length (mi)</t>
  </si>
  <si>
    <t xml:space="preserve">(A) adjustment factor for ADT </t>
  </si>
  <si>
    <t xml:space="preserve">Annual Auto VMT Reduced  </t>
  </si>
  <si>
    <t>(C) activity center credit near project</t>
  </si>
  <si>
    <t>Length</t>
  </si>
  <si>
    <t>Factor</t>
  </si>
  <si>
    <t>ADT adjustment Factor Lookup (adapted from CARB, 2008)</t>
  </si>
  <si>
    <t>&lt; 1</t>
  </si>
  <si>
    <t>1 - 2</t>
  </si>
  <si>
    <t>&gt; 2</t>
  </si>
  <si>
    <t>max ADT</t>
  </si>
  <si>
    <t>Non-university area</t>
  </si>
  <si>
    <t>Y</t>
  </si>
  <si>
    <t>Does project provide access to transit (Y/N)?</t>
  </si>
  <si>
    <t>Length of bike/ped project (miles)</t>
  </si>
  <si>
    <t>default factor to convert average weekday traffic to AADT</t>
  </si>
  <si>
    <t>Within 2 miles of a university or college (Y/N)?</t>
  </si>
  <si>
    <t>Area Type</t>
  </si>
  <si>
    <t>CBD</t>
  </si>
  <si>
    <t>Urban</t>
  </si>
  <si>
    <t>Suburban</t>
  </si>
  <si>
    <t>Rural</t>
  </si>
  <si>
    <t xml:space="preserve">Is ped/bike access to fixed guideway transit (Y/N)? </t>
  </si>
  <si>
    <t>N</t>
  </si>
  <si>
    <t>VMT per Capita</t>
  </si>
  <si>
    <t>From CUTR Model</t>
  </si>
  <si>
    <t>2055r</t>
  </si>
  <si>
    <t>0 - 499</t>
  </si>
  <si>
    <t>500 -1,999</t>
  </si>
  <si>
    <t>2,000 - 3,999</t>
  </si>
  <si>
    <t>4,000 - 9,999</t>
  </si>
  <si>
    <t>10,000+</t>
  </si>
  <si>
    <t>Area type</t>
  </si>
  <si>
    <t>Increase in transit trips resulting from new bike/ped connections</t>
  </si>
  <si>
    <t>University area</t>
  </si>
  <si>
    <t>Existing daily transit boardings in project transit corridor or at fixed-guideway station</t>
  </si>
  <si>
    <t>Bike + Ped + Transit</t>
  </si>
  <si>
    <t>Auto Occupancy</t>
  </si>
  <si>
    <t>Eliminated Annual Auto VMT</t>
  </si>
  <si>
    <t>Peak Hour to Daily Conversion</t>
  </si>
  <si>
    <t>Number of weekdays per year</t>
  </si>
  <si>
    <t>Note: assume delay reduction benefits on holidays and weekends are marginal</t>
  </si>
  <si>
    <t>Annualization factor</t>
  </si>
  <si>
    <t>Existing Peak Hour Delay (Veh-hr)</t>
  </si>
  <si>
    <t>Improved Peak Hour Delay (Veh-hr)</t>
  </si>
  <si>
    <t>Reduction in Annual Vehicle Hours of Delay</t>
  </si>
  <si>
    <t>Scenario Year</t>
  </si>
  <si>
    <t>Capacity of parallel arterial (vph)</t>
  </si>
  <si>
    <t>ADT to Hourly Volume Conversion</t>
  </si>
  <si>
    <t>V/C Ratio before improvements on parallel arterial</t>
  </si>
  <si>
    <t>Hourly Volume Reduced due to Improvements</t>
  </si>
  <si>
    <t>V/C Ratio after improvements on parallel arterial</t>
  </si>
  <si>
    <t>Posted Speed on parallel arterial (mph)</t>
  </si>
  <si>
    <t>Free flow travel time on parallel arterial (minutes)</t>
  </si>
  <si>
    <t>Existing Avg Speed (mph)</t>
  </si>
  <si>
    <t>Improved Avg Speed (mph)</t>
  </si>
  <si>
    <t>1 – CBD / Very High Density Urban</t>
  </si>
  <si>
    <t>2 – High Density Urban</t>
  </si>
  <si>
    <t>3 – Medium Density Urban</t>
  </si>
  <si>
    <t>4 – Low Density Urban</t>
  </si>
  <si>
    <t>5 – Suburban</t>
  </si>
  <si>
    <t>6 – Exurban</t>
  </si>
  <si>
    <t>7 – Rural</t>
  </si>
  <si>
    <t>Urban Very High Density</t>
  </si>
  <si>
    <t>Urban High Density</t>
  </si>
  <si>
    <t>Urban Medium Density</t>
  </si>
  <si>
    <t>Exurban</t>
  </si>
  <si>
    <t>Urban Low Density</t>
  </si>
  <si>
    <t>Documentation</t>
  </si>
  <si>
    <t>Population Density in Persons per Square Mile</t>
  </si>
  <si>
    <t>Under 500</t>
  </si>
  <si>
    <t>500-1999</t>
  </si>
  <si>
    <t>2000-3999</t>
  </si>
  <si>
    <t>4000-9999</t>
  </si>
  <si>
    <t>&gt; 10,000</t>
  </si>
  <si>
    <t>Average Daily Headways (minutes)</t>
  </si>
  <si>
    <t>Small Town</t>
  </si>
  <si>
    <t>Transit Corridor Length (miles)</t>
  </si>
  <si>
    <t>Suburb</t>
  </si>
  <si>
    <t>Second City</t>
  </si>
  <si>
    <t>Annual Average Per-capita transit trips</t>
  </si>
  <si>
    <t>Estimated Annual Transit Ridership</t>
  </si>
  <si>
    <t>Buses</t>
  </si>
  <si>
    <t>Light Duty</t>
  </si>
  <si>
    <t>All Trucks</t>
  </si>
  <si>
    <t>County Group</t>
  </si>
  <si>
    <t>Season</t>
  </si>
  <si>
    <t>Pollutant</t>
  </si>
  <si>
    <t>Speed (mph)</t>
  </si>
  <si>
    <t>All Rd Types</t>
  </si>
  <si>
    <t>Annual</t>
  </si>
  <si>
    <t>CO2eq</t>
  </si>
  <si>
    <t>NOx</t>
  </si>
  <si>
    <t>PM2.5</t>
  </si>
  <si>
    <t>Summer</t>
  </si>
  <si>
    <t>VOC</t>
  </si>
  <si>
    <t>Daily to Annual Conversion</t>
  </si>
  <si>
    <t>Light Duty Emission Factor PM NOx(g/mi)</t>
  </si>
  <si>
    <t>OR</t>
  </si>
  <si>
    <t>Annualization factor (weekdays days in a year)</t>
  </si>
  <si>
    <t>N/A</t>
  </si>
  <si>
    <t>Eliminated Annual Auto trips</t>
  </si>
  <si>
    <t>Difficult Terrain</t>
  </si>
  <si>
    <t>Number of destinations within 1/2 mile of project</t>
  </si>
  <si>
    <t>Use ARC Model conversion factor</t>
  </si>
  <si>
    <t>user defined; default value of 0.98 (NHTS 2009 Summary of Travel Trends)</t>
  </si>
  <si>
    <t>user defined; default value of 1.8 ( http://www.dot.ga.gov/travelingingeorgia/bikepedestrian/Documents/Plans/ARC_BikePed_Plan_2007.pdf)</t>
  </si>
  <si>
    <t>Enter Y or N. If no, access to bus is default.</t>
  </si>
  <si>
    <t>Bicycle</t>
  </si>
  <si>
    <t>Pedestrian</t>
  </si>
  <si>
    <t>Does this project have a bicycle component?</t>
  </si>
  <si>
    <t>Volume Density Function/BPR Curve Alpha</t>
  </si>
  <si>
    <t>Volume Density Function/BPR Curve Beta</t>
  </si>
  <si>
    <t>Light Duty Emission Factor PM (g/mi)</t>
  </si>
  <si>
    <t>CNG Bus</t>
  </si>
  <si>
    <t>LNG Bus</t>
  </si>
  <si>
    <t>Diesel Bus</t>
  </si>
  <si>
    <t>Existing Total Daily Emissions GHG (g)</t>
  </si>
  <si>
    <t>Existing Total Daily Emissions VOC (g)</t>
  </si>
  <si>
    <t>Existing Total Daily Emissions PM (g)</t>
  </si>
  <si>
    <t>Improved Total Daily Emissions GHG (g)</t>
  </si>
  <si>
    <t>Improved Total Daily Emissions VOC (g)</t>
  </si>
  <si>
    <t>Improved Total Daily Emissions PM (g)</t>
  </si>
  <si>
    <t>Emission Factors - Existing</t>
  </si>
  <si>
    <t>All Trucks Emission Factor PM (g/mi)</t>
  </si>
  <si>
    <t>All Trucks Emission Factor PM NOx(g/mi)</t>
  </si>
  <si>
    <t>Emission Factors - Improved</t>
  </si>
  <si>
    <t>Should not give credit for less than 3 centers; Destinations examples: banks, churches, hospitals, park and ride, office parks, library, shopping, schools</t>
  </si>
  <si>
    <t>Congested Travel Time before Improvements on parallel arterial</t>
  </si>
  <si>
    <t>Congested Travel Time after Improvements on parallel arterial</t>
  </si>
  <si>
    <t>Based on California's TLSPEN program (delay reduction from HCM 2000)</t>
  </si>
  <si>
    <t>Light Duty Emission Factor VOC(g/hour)</t>
  </si>
  <si>
    <t>Light Duty Emission Factor NOx(g/hour)</t>
  </si>
  <si>
    <t>Light Duty Emission Factor PM (g/hour)</t>
  </si>
  <si>
    <t>Light Duty Emission Factor PM NOx(g/hour)</t>
  </si>
  <si>
    <t>Light Duty Emission Factor VOC (g/mi)</t>
  </si>
  <si>
    <t>All Trucks Emission Factor VOC (g/mi)</t>
  </si>
  <si>
    <t>Light Duty Emission Factor NOx (g/mi)</t>
  </si>
  <si>
    <t>All Trucks Emission Factor NOx (g/mi)</t>
  </si>
  <si>
    <t>Emissions - Existing</t>
  </si>
  <si>
    <t>Emissions - Improved</t>
  </si>
  <si>
    <t>Light Duty Emissions PM NOx(g)</t>
  </si>
  <si>
    <t>Light Duty Emissions PM (g)</t>
  </si>
  <si>
    <t>Light Duty Emissions NOx (g)</t>
  </si>
  <si>
    <t>Light Duty Emissions VOC (g)</t>
  </si>
  <si>
    <t>Congested Speed (mph) before Improvements on parallel arterial</t>
  </si>
  <si>
    <t>Congested Speed (mph) after Improvements on parallel arterial</t>
  </si>
  <si>
    <t>Hours in Peak Period</t>
  </si>
  <si>
    <t>Destination Credits</t>
  </si>
  <si>
    <t>Destinations examples: banks, churches, hospitals, park and ride, office parks, library, shopping, schools</t>
  </si>
  <si>
    <t>1/2 mile</t>
  </si>
  <si>
    <t>at least 3</t>
  </si>
  <si>
    <t>4 to 6</t>
  </si>
  <si>
    <t>&gt; 6</t>
  </si>
  <si>
    <t>Increase in transit trips based on type of access (2 percent for improved access to bus; 4 percent for improved access to fixed guideway)**</t>
  </si>
  <si>
    <t>Hybrid Bus (Diesel-Electric)</t>
  </si>
  <si>
    <t>Light Rail (Electric)</t>
  </si>
  <si>
    <t>Heavy Rail (Electric)</t>
  </si>
  <si>
    <t>Emission Factor for GHG (g CO2eq/mi)</t>
  </si>
  <si>
    <t>Emission Factor for PM Nox (g/mi)</t>
  </si>
  <si>
    <t>Emission Factor for PM2.5 (g/mi)</t>
  </si>
  <si>
    <t>Emission Factor for NOx (g/mi)</t>
  </si>
  <si>
    <t>Emission Factor for VOC (g/mi)</t>
  </si>
  <si>
    <t>Light Duty Vehicle Emission Factors</t>
  </si>
  <si>
    <t>Transit Vehicle Emission Factors</t>
  </si>
  <si>
    <t>G</t>
  </si>
  <si>
    <t>Note: assume delay reduction benefits during off-peak times are marginal</t>
  </si>
  <si>
    <t>Auto VMT (one direction)</t>
  </si>
  <si>
    <t>Truck VMT (one direction)</t>
  </si>
  <si>
    <t>Signal Synchronization</t>
  </si>
  <si>
    <t>Wait Time Elasticity</t>
  </si>
  <si>
    <t>Percent of Total Travel Time Spent Waiting</t>
  </si>
  <si>
    <t>Percent of Total Travel Time Spent Waiting - After RTI</t>
  </si>
  <si>
    <t>Existing Total Daily Emissions PM NOx (g)</t>
  </si>
  <si>
    <t>Existing Total Daily Emissions NOx (g)</t>
  </si>
  <si>
    <t>Improved Total Daily Emissions PM NOx (g)</t>
  </si>
  <si>
    <t>Improved Total Daily Emissions NOx (g)</t>
  </si>
  <si>
    <t>Annual average daily traffic (ADT) between start/end of route</t>
  </si>
  <si>
    <t>MODEL PARAMETERS</t>
  </si>
  <si>
    <t>General Information / Parameter</t>
  </si>
  <si>
    <t>Default Values</t>
  </si>
  <si>
    <t>Units</t>
  </si>
  <si>
    <t>Source / Comments</t>
  </si>
  <si>
    <t>SCENARIO YEAR OUTPUTS</t>
  </si>
  <si>
    <t>RESULTS</t>
  </si>
  <si>
    <t>DELAY IMPACT</t>
  </si>
  <si>
    <t>EMISSION FACTORS AND CONSTANTS</t>
  </si>
  <si>
    <t>CALCULATION INPUTS</t>
  </si>
  <si>
    <t>user-defined</t>
  </si>
  <si>
    <t>Value</t>
  </si>
  <si>
    <t>Data Type</t>
  </si>
  <si>
    <t>User-Defined Values</t>
  </si>
  <si>
    <t>From a Travel Demand Model Using Origin / Destination Data</t>
  </si>
  <si>
    <t>TOTAL REDUCTION</t>
  </si>
  <si>
    <t>Scenerio Year</t>
  </si>
  <si>
    <t>Values</t>
  </si>
  <si>
    <t>Emission Factor</t>
  </si>
  <si>
    <t>Calculated</t>
  </si>
  <si>
    <t>Travel Time Savings</t>
  </si>
  <si>
    <t>mins</t>
  </si>
  <si>
    <t>CONSTANTS</t>
  </si>
  <si>
    <t>miles</t>
  </si>
  <si>
    <t>Bike, Ped, and Transit</t>
  </si>
  <si>
    <t>User defined (values from APTA - 5.2 and FTA - 10.2)</t>
  </si>
  <si>
    <t>5.2, 10.2</t>
  </si>
  <si>
    <t>Average length of transit trips</t>
  </si>
  <si>
    <t>Average length of pedestrian trips</t>
  </si>
  <si>
    <t>Average length of bicycle trips</t>
  </si>
  <si>
    <t>User defined; default value of 1.8 (http://www.dot.ga.gov/travelingingeorgia/bikepedestrian/Documents/Plans/ARC_BikePed_Plan_2007.pdf)</t>
  </si>
  <si>
    <t>Used to convert ADT to AADT</t>
  </si>
  <si>
    <t>NCHRP Report 716 Table 4.25 for Multilane Highways with free flow speed of 50 mph (see table under 'OtherVariables' Tab</t>
  </si>
  <si>
    <t>User defined; default value of 0.98 (NHTS 2009 Summary of Travel Trends) http://nhts.ornl.gov/2009/pub/stt.pdf</t>
  </si>
  <si>
    <t>Look Up Table Values and Other constants</t>
  </si>
  <si>
    <t>New Transit</t>
  </si>
  <si>
    <t>calculated</t>
  </si>
  <si>
    <t>Is Real-Time Information Available?</t>
  </si>
  <si>
    <t>ADDED TRANSIT EMISSIONS (DUE TO ADDED TRANSIT TRIPS / NEW TRANSIT SERVICE)</t>
  </si>
  <si>
    <t>New Transit Service and/or Transit Technology</t>
  </si>
  <si>
    <t>NCHRP Report 716 Table 4.25 for Multilane Highways with free flow speed of 50 mph (see table in 'OtherVariables' tab)</t>
  </si>
  <si>
    <t>Regionally Significant Bicycle/Pedestrian</t>
  </si>
  <si>
    <t>Commute percentage - Bicycles</t>
  </si>
  <si>
    <t>Commute percentage - Pedestrians</t>
  </si>
  <si>
    <t>http://www.nhtsa.gov/staticfiles/nti/pdf/811841b.pdf</t>
  </si>
  <si>
    <t>Use look-ups in 'OtherVariables' Tab in this spreadsheet for guidance based on capacity by functional class</t>
  </si>
  <si>
    <t>Predicted Total Daily Bicycle Demand for Facility</t>
  </si>
  <si>
    <t>Annual average daily traffic (ADT) between the origin and destination of route</t>
  </si>
  <si>
    <t>Regionally Significant Bicycle + Pedestrian Facility</t>
  </si>
  <si>
    <t>Truck percent</t>
  </si>
  <si>
    <t>Advanced Traffic Management System (ATMS)</t>
  </si>
  <si>
    <t>Reduction delay off the control delay</t>
  </si>
  <si>
    <t>Does the Project Include an Adaptive Signal System?</t>
  </si>
  <si>
    <t>12% and 31.5%</t>
  </si>
  <si>
    <t>For Non-Adaptive Signal Systems: Georgia Department of Transportation, Regional Traffic Operations Program, before/after study
For Adaptive Signal Systems: Average Delay Reduction http://www.itsbenefits.its.dot.gov/its/benecost.nsf/0/B56A52DA1C256C8E8525725F00691912</t>
  </si>
  <si>
    <t>CONSTANTS &amp; EMISSION FACTORS</t>
  </si>
  <si>
    <t>Average Peak Hour Intersection Delay before ATMS (s/veh)</t>
  </si>
  <si>
    <t>Number of Intersections along Corridor</t>
  </si>
  <si>
    <t>Light Duty Emission Factor PM NOx (g/hour)</t>
  </si>
  <si>
    <t>Light Duty Emission Factor NOx (g/hour)</t>
  </si>
  <si>
    <t>Light Duty Emission Factor VOC (g/hour)</t>
  </si>
  <si>
    <t>Truck Emission Factor PM NOx (g/hour)</t>
  </si>
  <si>
    <t>Truck Emission Factor PM (g/hour)</t>
  </si>
  <si>
    <t>Truck Emission Factor NOx (g/hour)</t>
  </si>
  <si>
    <t>Truck Emission Factor VOC (g/hour)</t>
  </si>
  <si>
    <t>Number of Weekdays per Year</t>
  </si>
  <si>
    <t>Peak Hour Volume Along Corridor</t>
  </si>
  <si>
    <t>Delay after Improvement (s/veh)</t>
  </si>
  <si>
    <t>Total Annual Reductions in PM NOx Emissions (g/year)</t>
  </si>
  <si>
    <t>Total Annual Reductions in PM Emissions (g/year)</t>
  </si>
  <si>
    <t>Total Annual Reductions in NOx Emissions (g/year)</t>
  </si>
  <si>
    <t>Total Annual Reductions in VOC Emissions (g/year)</t>
  </si>
  <si>
    <t>Added Transit GHG Emissions (g CO2eq /year)</t>
  </si>
  <si>
    <t>Added Transit PM Nox Emissions (g/year)</t>
  </si>
  <si>
    <t>Added Transit PM2.5 Emissions (g/year)</t>
  </si>
  <si>
    <t>Added Transit Nox Emissions (g/year)</t>
  </si>
  <si>
    <t>Added Transit VOC Emissions (g/year)</t>
  </si>
  <si>
    <t>Estimated Added Annual Transit Ridership due to Real-Time Information</t>
  </si>
  <si>
    <t>Eliminated Annual Auto VMT due to Real-Time Information</t>
  </si>
  <si>
    <t>Total Eliminated Annual Auto VMT</t>
  </si>
  <si>
    <t>VEHICLE EMISSION REDUCTION DUE TO REAL-TIME INFORMATION</t>
  </si>
  <si>
    <t>Annual Emissions - Existing</t>
  </si>
  <si>
    <t>Annual Emissions - Improved</t>
  </si>
  <si>
    <t>Emissions</t>
  </si>
  <si>
    <t>EMISSIONS</t>
  </si>
  <si>
    <t>Bicycle + Pedestrian + Transit</t>
  </si>
  <si>
    <t>Congested Travel Time before Improvements on parallel arterial (mins)</t>
  </si>
  <si>
    <t>Congested Travel Time after Improvements on parallel arterial (mins)</t>
  </si>
  <si>
    <t>ATMS</t>
  </si>
  <si>
    <t>Regionally Significant Bike/Ped Facility</t>
  </si>
  <si>
    <t>LOS</t>
  </si>
  <si>
    <t>Control Delay per vehicle</t>
  </si>
  <si>
    <t>(seconds per vehicle)</t>
  </si>
  <si>
    <t>≤ 10</t>
  </si>
  <si>
    <t>&gt; 10-20</t>
  </si>
  <si>
    <t>&gt; 20-35</t>
  </si>
  <si>
    <t>&gt; 35-55</t>
  </si>
  <si>
    <t>&gt; 55-80</t>
  </si>
  <si>
    <t>&gt; 80</t>
  </si>
  <si>
    <t>Level of Service Criteria for Signalized Intersections from HCM 2000</t>
  </si>
  <si>
    <t>General Description</t>
  </si>
  <si>
    <t>(signalized intersections)</t>
  </si>
  <si>
    <t>Free Flow</t>
  </si>
  <si>
    <t>Stable Flow (slight delays)</t>
  </si>
  <si>
    <t>Stable Flow (acceptable delays)</t>
  </si>
  <si>
    <t xml:space="preserve">Approaching unstable flow (tolerable delay, occasionally wait  through more than one signal cycle before proceeding) </t>
  </si>
  <si>
    <t xml:space="preserve">Unstable flow (intolerable delay) </t>
  </si>
  <si>
    <t xml:space="preserve">Forced flow (jammed) </t>
  </si>
  <si>
    <t>Total Daily Reductions in GHG emissions (short tons/day)</t>
  </si>
  <si>
    <t>Total Daily Reductions in PM NOx Emissions (short tons/day)</t>
  </si>
  <si>
    <t>Total Daily Reductions in PM Emissions (short tons/day)</t>
  </si>
  <si>
    <t>Total Daily Reductions in NOx Emissions (short tons/day)</t>
  </si>
  <si>
    <t>Total Daily Reductions in VOC Emissions (short tons/day)</t>
  </si>
  <si>
    <t>Average length of one-way bicycle trips (miles)</t>
  </si>
  <si>
    <t>Average length of one-way pedestrian trips (miles)</t>
  </si>
  <si>
    <t>Average length of one-way transit trips (miles)</t>
  </si>
  <si>
    <t xml:space="preserve">Annual One-Way Auto Trips Reduced (bike/commute) </t>
  </si>
  <si>
    <t>Annual One-Way Auto Trips Reduced - Total</t>
  </si>
  <si>
    <t>Daily One-Way Auto Trips Reduced - Total</t>
  </si>
  <si>
    <t xml:space="preserve">Annual One-Way Auto Trips Reduced (walk/commute) </t>
  </si>
  <si>
    <t xml:space="preserve">Annual One-Way Auto Trips Reduced (bike) </t>
  </si>
  <si>
    <t xml:space="preserve">Annual One-Way Auto Trips Reduced (walk) </t>
  </si>
  <si>
    <t xml:space="preserve">Annual One-Way Auto Trips Reduced (transit) </t>
  </si>
  <si>
    <t>AM Peak</t>
  </si>
  <si>
    <t>PM Peak</t>
  </si>
  <si>
    <t>Off-Peak</t>
  </si>
  <si>
    <t>Average AM Peak Headways (minutes)</t>
  </si>
  <si>
    <t>Average PM Peak Headways (minutes)</t>
  </si>
  <si>
    <t>Length of AM Peak (hours)</t>
  </si>
  <si>
    <t>Length of PM Peak (hours)</t>
  </si>
  <si>
    <t>Length of Off-Peak (hours)</t>
  </si>
  <si>
    <t>Total Daily Transit Ridership</t>
  </si>
  <si>
    <t>Carpooling / Vanpooling</t>
  </si>
  <si>
    <t>Carpool / Vanpool</t>
  </si>
  <si>
    <t>Carpool</t>
  </si>
  <si>
    <t>Number of Vanpools</t>
  </si>
  <si>
    <t>Number of Carpools</t>
  </si>
  <si>
    <t>Vanpool</t>
  </si>
  <si>
    <t>Carpool Vehicle Emission Factors</t>
  </si>
  <si>
    <t>Vanpool Vehicle Emission Factors</t>
  </si>
  <si>
    <t>Auto Occupancy for SOV</t>
  </si>
  <si>
    <t>Adjustment Factor (A) for Auto Trips</t>
  </si>
  <si>
    <t>Adjustment Factor (AA) for Auto Access to and from vanpool/shuttle</t>
  </si>
  <si>
    <t>Average Roundtrip Length for SOV (miles)</t>
  </si>
  <si>
    <t>ADDED VEHICLE EMISSIONS FROM CARPOOL / VANPOOL</t>
  </si>
  <si>
    <t>Estimated Annual Carpool VMT</t>
  </si>
  <si>
    <t>Estimated Annual Vanpool VMT</t>
  </si>
  <si>
    <t>Annual Total Ridership for Carpool</t>
  </si>
  <si>
    <t>Annual Total Ridership for Vanpool</t>
  </si>
  <si>
    <t>Average Delay Reduction due to ATMS</t>
  </si>
  <si>
    <t>Average Delay Reduction due to Adaptive Signal System</t>
  </si>
  <si>
    <t>.</t>
  </si>
  <si>
    <t>Annual Auto Trips to a Park and Ride Lot</t>
  </si>
  <si>
    <t>Annual Auto Commute Trips Reduced</t>
  </si>
  <si>
    <t>Annual VMT Reduced due to Drivers Carpooling</t>
  </si>
  <si>
    <t>Total Annual VMT Reduced due to Carpool (account for VMT for Carpool)</t>
  </si>
  <si>
    <t>Annual VMT Reduced due to Drivers Vanpooling</t>
  </si>
  <si>
    <t>Total Annual VMT Reduced due to Vanpool (account for VMT for Vanpool)</t>
  </si>
  <si>
    <t>Central Business District</t>
  </si>
  <si>
    <t>Central Business District Fringe</t>
  </si>
  <si>
    <t>Residential</t>
  </si>
  <si>
    <t>Suburb Central Business District</t>
  </si>
  <si>
    <t>Ramp</t>
  </si>
  <si>
    <t>HOV (all classes)</t>
  </si>
  <si>
    <t>Off-Ramp</t>
  </si>
  <si>
    <t>On-Ramp</t>
  </si>
  <si>
    <t>C0</t>
  </si>
  <si>
    <t>C1</t>
  </si>
  <si>
    <t>C2</t>
  </si>
  <si>
    <t>Alpha</t>
  </si>
  <si>
    <t>Beta</t>
  </si>
  <si>
    <t>Freeway</t>
  </si>
  <si>
    <t>Expressway</t>
  </si>
  <si>
    <t>Two-Way Arterial (Parking)</t>
  </si>
  <si>
    <t>One-Way Arterial (Parking)</t>
  </si>
  <si>
    <t>Two-Way Arterial (No Parking)</t>
  </si>
  <si>
    <t>Annual average daily traffic (AADT) on the parallel arterial</t>
  </si>
  <si>
    <t>Average Peak Hour Intersection Delay after ATMS (s/veh)</t>
  </si>
  <si>
    <t>Average Length of Trip (miles, one-way)</t>
  </si>
  <si>
    <t>Freeway to Freeway Ramp</t>
  </si>
  <si>
    <t>Model specific data can be used</t>
  </si>
  <si>
    <t>weighted average</t>
  </si>
  <si>
    <t>Default value from CARB: http://www.arb.ca.gov/planning/tsaq/eval/eval.htm</t>
  </si>
  <si>
    <t>Average Trip Length (LL) for Auto Access to and from rideshare</t>
  </si>
  <si>
    <t>Based Capacity</t>
  </si>
  <si>
    <t>OTHER REFERENCED VARIABLES</t>
  </si>
  <si>
    <t>Default value from CARB: http://www.arb.ca.gov/planning/tsaq/eval/eval.htm (Default is 0.75 but for travel to and from park and ride lots, use 0.9)</t>
  </si>
  <si>
    <t>Average Trip Length (LL) for Auto Access to  rideshare (miles, one-way)</t>
  </si>
  <si>
    <t>Marion County, Indiana</t>
  </si>
  <si>
    <t>General</t>
  </si>
  <si>
    <t>SO2</t>
  </si>
  <si>
    <t>Winter</t>
  </si>
  <si>
    <t>CO</t>
  </si>
  <si>
    <t>2025 Running Emission Rates (g/mile)</t>
  </si>
  <si>
    <t>Passenger Truck</t>
  </si>
  <si>
    <t>2025 Idle Emission Rates (grams/hour)</t>
  </si>
  <si>
    <t>Light Duty Emission Factor SO2 (g/mi)</t>
  </si>
  <si>
    <t>Light Duty Emission Factor CO (g/mi)</t>
  </si>
  <si>
    <t>Light Duty Emissions SO2 (g/mi)</t>
  </si>
  <si>
    <t>Light Duty Emissions CO (g/mi)</t>
  </si>
  <si>
    <t>All Trucks Emission Factor SO2 (g/mi)</t>
  </si>
  <si>
    <t>All Trucks Emission Factor CO (g/mi)</t>
  </si>
  <si>
    <t>Light Duty Emission Factor SO2 (g/hour)</t>
  </si>
  <si>
    <t>Light Duty Emission Factor CO (g/hour)</t>
  </si>
  <si>
    <t>Truck Emission Factor CO (g/hour)</t>
  </si>
  <si>
    <t>Truck Emission Factor SO2 (g/hour)</t>
  </si>
  <si>
    <t>Existing Total Daily Emissions SO2 (g)</t>
  </si>
  <si>
    <t>Existing Total Daily Emissions CO (g)</t>
  </si>
  <si>
    <t>Improved Total Daily Emissions SO2 (g)</t>
  </si>
  <si>
    <t>Improved Total Daily Emissions CO (g)</t>
  </si>
  <si>
    <t>Total Annual Reductions in SO2 Emissions (g/year)</t>
  </si>
  <si>
    <t>Total Annual Reductions in CO Emissions (g/year)</t>
  </si>
  <si>
    <t>Total Daily Reductions in SO2 Emissions (short tons/day)</t>
  </si>
  <si>
    <t>Total Daily Reductions in CO Emissions (short tons/day)</t>
  </si>
  <si>
    <t>Emission Factor for SO2 (g/mi)</t>
  </si>
  <si>
    <t>Emission Factor for CO (g/mi)</t>
  </si>
  <si>
    <t>Added Transit SO2 Emissions (g/year)</t>
  </si>
  <si>
    <t>Added Transit CO Emissions (g/year)</t>
  </si>
  <si>
    <t>CARB Documentation - Use 200 instead of 250 to account for local climate</t>
  </si>
  <si>
    <t>Predicted Total Daily Pedestrian Demand for Facility</t>
  </si>
  <si>
    <t>Added GHG Emissions (g CO2eq /year)</t>
  </si>
  <si>
    <t>Added PM Nox Emissions (g/year)</t>
  </si>
  <si>
    <t>Added PM2.5 Emissions (g/year)</t>
  </si>
  <si>
    <t>Added Nox Emissions (g/year)</t>
  </si>
  <si>
    <t>Added VOC Emissions (g/year)</t>
  </si>
  <si>
    <t>Added SO2 Emissions (g/year)</t>
  </si>
  <si>
    <t>Added CO Emissions (g/year)</t>
  </si>
  <si>
    <t>Full Size Transit Bus</t>
  </si>
  <si>
    <t>Paratransit/Shuttle Bus</t>
  </si>
  <si>
    <t>Type of Bus</t>
  </si>
  <si>
    <t>Light Duty Emission Factor GHG (g CO2eq/hour)</t>
  </si>
  <si>
    <t>Truck Emission Factor for PM Nox (g/hour)</t>
  </si>
  <si>
    <t>Truck Emission Factor for PM (g/hour)</t>
  </si>
  <si>
    <t>Truck Emission Factor for NOx (g/hour)</t>
  </si>
  <si>
    <t>Truck Emission Factor for VOC (g/hour)</t>
  </si>
  <si>
    <t>Truck Emission Factor for GHG (g CO2eq/hour)</t>
  </si>
  <si>
    <t>Total Annual Reductions in GHG emissions (g CO2eq /year)</t>
  </si>
  <si>
    <t>Light Duty Emission Factor GHG (gCO2eq/mi)</t>
  </si>
  <si>
    <t>All Trucks Emission Factor GHG (gCO2eq/mi)</t>
  </si>
  <si>
    <t>Light Duty Emissions GHG (gCO2eq)</t>
  </si>
  <si>
    <t>Light Duty Emissions SO2 (g)</t>
  </si>
  <si>
    <t>Light Duty Emissions CO (g)</t>
  </si>
  <si>
    <t>All Trucks Emissions GHG (gCO2eq)</t>
  </si>
  <si>
    <t>All Trucks Emissions PM NOx(g)</t>
  </si>
  <si>
    <t>All Trucks Emissions PM (g)</t>
  </si>
  <si>
    <t>All Trucks Emissions NOx (g)</t>
  </si>
  <si>
    <t>All Trucks Emissions VOC (g)</t>
  </si>
  <si>
    <t>All Trucks Emissions SO2 (g)</t>
  </si>
  <si>
    <t>All Trucks Emissions CO (g)</t>
  </si>
  <si>
    <t>Truck Emission Factor GHG (g CO2eq/hour)</t>
  </si>
  <si>
    <t>Improved Total Daily Emissions GHG (g CO2eq)</t>
  </si>
  <si>
    <t>Existing Total Daily Emissions GHG (g CO2eq)</t>
  </si>
  <si>
    <t>Light Duty Emission Factor GHG (g CO2eq/mi)</t>
  </si>
  <si>
    <t>Light Duty Emissions GHG (g CO2eq)</t>
  </si>
  <si>
    <t>Average Number of Passengers per Carpool (per vehicle)</t>
  </si>
  <si>
    <t>Average Number of Passengers per Vanpool (per vehicle)</t>
  </si>
  <si>
    <t>Auto Occupancy for vehicles before carpool/vanpool strategy</t>
  </si>
  <si>
    <t>Reference</t>
  </si>
  <si>
    <t>--</t>
  </si>
  <si>
    <t>67 mph</t>
  </si>
  <si>
    <t>39 mph</t>
  </si>
  <si>
    <t>29 mph</t>
  </si>
  <si>
    <t>38 mph</t>
  </si>
  <si>
    <t>53 mph</t>
  </si>
  <si>
    <t>Facility Type of Parallel Arterial</t>
  </si>
  <si>
    <t>Collector</t>
  </si>
  <si>
    <t>http://davidpritchard.org/sustrans/papers/Cam09/Moving%20Cooler_Appendices_Complete_102209.pdf</t>
  </si>
  <si>
    <t>From Indy MPO</t>
  </si>
  <si>
    <t>CBD Fringe</t>
  </si>
  <si>
    <t>Suburban CBD</t>
  </si>
  <si>
    <t>Density</t>
  </si>
  <si>
    <t>VMT</t>
  </si>
  <si>
    <t>Interpolated VMT</t>
  </si>
  <si>
    <t>Fraction</t>
  </si>
  <si>
    <t>New Percentage - Bus</t>
  </si>
  <si>
    <t>New Percentage - Fixed</t>
  </si>
  <si>
    <t>Total Annual Reductions in GHG emissions (kg CO2 /year)</t>
  </si>
  <si>
    <t>Total Annual Reductions in NOx Emissions (kg/year)</t>
  </si>
  <si>
    <t>Total Annual Reductions in VOC Emissions (kg/year)</t>
  </si>
  <si>
    <t>Total Annual Reductions in SO2 Emissions (kg/year)</t>
  </si>
  <si>
    <t>Total Annual Reductions in CO Emissions (kg/year)</t>
  </si>
  <si>
    <t>Total Daily Reductions in GHG emissions (kg /day)</t>
  </si>
  <si>
    <t>Total Daily Reductions in PM NOx Emissions (kg/day)</t>
  </si>
  <si>
    <t>Total Daily Reductions in PM Emissions (kg/day)</t>
  </si>
  <si>
    <t>Total Daily Reductions in SO2 Emissions (kg/day)</t>
  </si>
  <si>
    <t>CMAQ dollars total</t>
  </si>
  <si>
    <t>Project Life (years)</t>
  </si>
  <si>
    <t>Daily Reductions in GHG emissions (kg CO2 /day)</t>
  </si>
  <si>
    <t>Daily Reductions in PM NOx Emissions (kg/day)</t>
  </si>
  <si>
    <t>Daily Reductions in PM Emissions (kg/day)</t>
  </si>
  <si>
    <t xml:space="preserve">Daily Reductions in SO2 Emissions (kg/day)  </t>
  </si>
  <si>
    <t>Daily Reductions in SO2 Emissions (kg/day)</t>
  </si>
  <si>
    <t>Total Annual Reductions in GHG emissions (kg CO2eq /year)</t>
  </si>
  <si>
    <t>Total Daily Reductions in GHG emissions (kg/day)</t>
  </si>
  <si>
    <t xml:space="preserve">Daily Reductions in SO2 Emissions (kg/day) </t>
  </si>
  <si>
    <t>Intersection/Roundabout Improvement</t>
  </si>
  <si>
    <t>Corridor Length (miles)</t>
  </si>
  <si>
    <t>Average Traffic Volume during Peak Hour (one direction)</t>
  </si>
  <si>
    <t>AM Peak Hour, Peak Direction</t>
  </si>
  <si>
    <t>PM Peak Hour, Peak Direction</t>
  </si>
  <si>
    <t>2035 Running Emission Rates (g/mile)</t>
  </si>
  <si>
    <t>*Total Annual Reductions in PM NOx Emissions (kg/year)</t>
  </si>
  <si>
    <t>*Total Annual Reductions in PM Emissions (kg/year)</t>
  </si>
  <si>
    <t>*Total Daily Reductions in NOx Emissions (kg/day)</t>
  </si>
  <si>
    <t>*Total Daily Reductions in VOC Emissions (kg/day)</t>
  </si>
  <si>
    <t>*Total Daily Reductions in CO Emissions (kg/day)</t>
  </si>
  <si>
    <t>*CMAQ PM NOx Emissions (CMAQ$/kg/year)</t>
  </si>
  <si>
    <t>*CMAQ PM Emissions (CMAQ$/kg/year)</t>
  </si>
  <si>
    <t>*CMAQ NOx Emissions (CMAQ$/kg/day)</t>
  </si>
  <si>
    <t>*CMAQ VOC Emissions (CMAQ$/kg/day)</t>
  </si>
  <si>
    <t>*CMAQ CO Emissions (CMAQ$/kg/day)</t>
  </si>
  <si>
    <t>*Daily Reductions in NOx Emissions (kg/day)</t>
  </si>
  <si>
    <t>*Daily Reductions in VOC Emissions (kg/day)</t>
  </si>
  <si>
    <t>*Daily Reductions in CO Emissions (kg/day)</t>
  </si>
  <si>
    <t>*Daily Reductio ns in CO Emissions (kg/day)</t>
  </si>
  <si>
    <t>z</t>
  </si>
  <si>
    <t>Intersection &amp; Roundabout</t>
  </si>
  <si>
    <t>To scale peak-hour or peak-period volumes into a full-day estimate for consistent comparison with daily-based metrics</t>
  </si>
  <si>
    <t>Percentage of Trucks (one direction)</t>
  </si>
  <si>
    <t>Average Corridor Travel Time (min) during Peak Hour (peak direction) - before Improvements</t>
  </si>
  <si>
    <t>Average Corridor Travel Time (min) during Peak Hour (peak direction) - after Improvements</t>
  </si>
  <si>
    <t>2035 Idle Emission Rates (grams/hour)</t>
  </si>
  <si>
    <t>AM Peak Hour, Peak Direction
User-Defined Values</t>
  </si>
  <si>
    <t>PM Peak Hour, Peak Direction
User-Defined Values</t>
  </si>
  <si>
    <t>MiTIP</t>
  </si>
  <si>
    <t>Percentage of Trucks (Volume-Weighted Average Across All Directions)</t>
  </si>
  <si>
    <t>Total Vehicle Second Delay (Veh-sec) in Peak Hour - before Improvements</t>
  </si>
  <si>
    <t>Total Vehicle Second Delay (Veh-sec) in Peak Hour - after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</si>
</sst>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"/>
    <numFmt numFmtId="168" formatCode="_(* #,##0.000_);_(* \(#,##0.000\);_(* &quot;-&quot;??_);_(@_)"/>
    <numFmt numFmtId="169" formatCode="_(* #,##0.0_);_(* \(#,##0.0\);_(* &quot;-&quot;??_);_(@_)"/>
    <numFmt numFmtId="170" formatCode="#,##0.0"/>
    <numFmt numFmtId="171" formatCode="#,##0.0_);\(#,##0.0\)"/>
    <numFmt numFmtId="172" formatCode="[$-409]mmmm\ d\,\ yyyy;@"/>
    <numFmt numFmtId="173" formatCode="0_);\(0\)"/>
    <numFmt numFmtId="174" formatCode="#,##0.000_);\(#,##0.000\)"/>
    <numFmt numFmtId="175" formatCode="#,##0.00000_);\(#,##0.00000\)"/>
    <numFmt numFmtId="176" formatCode="#,##0.0000_);\(#,##0.0000\)"/>
    <numFmt numFmtId="177" formatCode="#,##0.000"/>
    <numFmt numFmtId="178" formatCode="#,##0.000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8"/>
      <name val="Helv"/>
    </font>
    <font>
      <b/>
      <sz val="12"/>
      <name val="Helv"/>
    </font>
    <font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</font>
    <font>
      <vertAlign val="superscript"/>
      <sz val="12"/>
      <name val="Helv"/>
    </font>
    <font>
      <sz val="10"/>
      <color theme="0"/>
      <name val="Arial"/>
      <family val="2"/>
    </font>
    <font>
      <b/>
      <sz val="2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MS Sans Serif"/>
    </font>
  </fonts>
  <fills count="5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8232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9">
    <xf numFmtId="0" fontId="0" fillId="0" borderId="0"/>
    <xf numFmtId="43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9" fontId="8" fillId="0" borderId="0" applyFont="0" applyFill="0" applyBorder="0" applyAlignment="0" applyProtection="0"/>
    <xf numFmtId="0" fontId="15" fillId="7" borderId="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8" fillId="9" borderId="17" applyNumberFormat="0" applyFont="0" applyAlignment="0" applyProtection="0"/>
    <xf numFmtId="0" fontId="14" fillId="0" borderId="0">
      <alignment horizontal="left" vertical="center" wrapText="1"/>
    </xf>
    <xf numFmtId="0" fontId="21" fillId="0" borderId="0">
      <alignment vertical="top"/>
    </xf>
    <xf numFmtId="44" fontId="14" fillId="0" borderId="0" applyFont="0" applyFill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9" borderId="17" applyNumberFormat="0" applyFont="0" applyAlignment="0" applyProtection="0"/>
    <xf numFmtId="9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>
      <alignment horizontal="left"/>
    </xf>
    <xf numFmtId="0" fontId="36" fillId="0" borderId="0">
      <alignment horizontal="left"/>
    </xf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27" applyNumberFormat="0" applyAlignment="0" applyProtection="0"/>
    <xf numFmtId="0" fontId="47" fillId="17" borderId="2" applyNumberFormat="0" applyAlignment="0" applyProtection="0"/>
    <xf numFmtId="0" fontId="48" fillId="0" borderId="28" applyNumberFormat="0" applyFill="0" applyAlignment="0" applyProtection="0"/>
    <xf numFmtId="0" fontId="49" fillId="18" borderId="29" applyNumberFormat="0" applyAlignment="0" applyProtection="0"/>
    <xf numFmtId="0" fontId="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10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10" fillId="40" borderId="0" applyNumberFormat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9" fontId="8" fillId="0" borderId="0" applyFont="0" applyFill="0" applyBorder="0" applyAlignment="0" applyProtection="0"/>
    <xf numFmtId="0" fontId="15" fillId="7" borderId="2" applyNumberFormat="0" applyAlignment="0" applyProtection="0"/>
    <xf numFmtId="0" fontId="8" fillId="9" borderId="17" applyNumberFormat="0" applyFont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27" applyNumberFormat="0" applyAlignment="0" applyProtection="0"/>
    <xf numFmtId="0" fontId="47" fillId="17" borderId="2" applyNumberFormat="0" applyAlignment="0" applyProtection="0"/>
    <xf numFmtId="0" fontId="48" fillId="0" borderId="28" applyNumberFormat="0" applyFill="0" applyAlignment="0" applyProtection="0"/>
    <xf numFmtId="0" fontId="49" fillId="18" borderId="29" applyNumberFormat="0" applyAlignment="0" applyProtection="0"/>
    <xf numFmtId="0" fontId="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10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10" fillId="40" borderId="0" applyNumberFormat="0" applyBorder="0" applyAlignment="0" applyProtection="0"/>
    <xf numFmtId="0" fontId="6" fillId="0" borderId="0"/>
    <xf numFmtId="0" fontId="14" fillId="0" borderId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Protection="0">
      <alignment horizontal="left"/>
    </xf>
    <xf numFmtId="0" fontId="14" fillId="0" borderId="31" applyNumberFormat="0" applyFont="0" applyFill="0" applyAlignment="0" applyProtection="0"/>
    <xf numFmtId="0" fontId="52" fillId="0" borderId="0" applyNumberFormat="0" applyFill="0" applyBorder="0" applyProtection="0">
      <alignment horizontal="left"/>
    </xf>
    <xf numFmtId="0" fontId="14" fillId="0" borderId="31" applyNumberFormat="0" applyFont="0" applyFill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172" fontId="35" fillId="0" borderId="0">
      <alignment horizontal="left"/>
    </xf>
    <xf numFmtId="172" fontId="56" fillId="0" borderId="0">
      <alignment horizontal="right"/>
    </xf>
    <xf numFmtId="172" fontId="36" fillId="0" borderId="0">
      <alignment horizontal="left"/>
    </xf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9" fontId="8" fillId="0" borderId="0" applyFont="0" applyFill="0" applyBorder="0" applyAlignment="0" applyProtection="0"/>
    <xf numFmtId="0" fontId="15" fillId="7" borderId="2" applyNumberFormat="0" applyAlignment="0" applyProtection="0"/>
    <xf numFmtId="0" fontId="8" fillId="9" borderId="17" applyNumberFormat="0" applyFont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27" applyNumberFormat="0" applyAlignment="0" applyProtection="0"/>
    <xf numFmtId="0" fontId="47" fillId="17" borderId="2" applyNumberFormat="0" applyAlignment="0" applyProtection="0"/>
    <xf numFmtId="0" fontId="48" fillId="0" borderId="28" applyNumberFormat="0" applyFill="0" applyAlignment="0" applyProtection="0"/>
    <xf numFmtId="0" fontId="49" fillId="18" borderId="29" applyNumberFormat="0" applyAlignment="0" applyProtection="0"/>
    <xf numFmtId="0" fontId="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10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10" fillId="40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9" fontId="8" fillId="0" borderId="0" applyFont="0" applyFill="0" applyBorder="0" applyAlignment="0" applyProtection="0"/>
    <xf numFmtId="0" fontId="15" fillId="7" borderId="2" applyNumberFormat="0" applyAlignment="0" applyProtection="0"/>
    <xf numFmtId="0" fontId="8" fillId="9" borderId="17" applyNumberFormat="0" applyFont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27" applyNumberFormat="0" applyAlignment="0" applyProtection="0"/>
    <xf numFmtId="0" fontId="47" fillId="17" borderId="2" applyNumberFormat="0" applyAlignment="0" applyProtection="0"/>
    <xf numFmtId="0" fontId="48" fillId="0" borderId="28" applyNumberFormat="0" applyFill="0" applyAlignment="0" applyProtection="0"/>
    <xf numFmtId="0" fontId="49" fillId="18" borderId="29" applyNumberFormat="0" applyAlignment="0" applyProtection="0"/>
    <xf numFmtId="0" fontId="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10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10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9" fontId="8" fillId="0" borderId="0" applyFont="0" applyFill="0" applyBorder="0" applyAlignment="0" applyProtection="0"/>
    <xf numFmtId="0" fontId="15" fillId="7" borderId="2" applyNumberFormat="0" applyAlignment="0" applyProtection="0"/>
    <xf numFmtId="0" fontId="8" fillId="9" borderId="17" applyNumberFormat="0" applyFont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27" applyNumberFormat="0" applyAlignment="0" applyProtection="0"/>
    <xf numFmtId="0" fontId="47" fillId="17" borderId="2" applyNumberFormat="0" applyAlignment="0" applyProtection="0"/>
    <xf numFmtId="0" fontId="48" fillId="0" borderId="28" applyNumberFormat="0" applyFill="0" applyAlignment="0" applyProtection="0"/>
    <xf numFmtId="0" fontId="49" fillId="18" borderId="29" applyNumberFormat="0" applyAlignment="0" applyProtection="0"/>
    <xf numFmtId="0" fontId="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10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10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8" fillId="0" borderId="0"/>
    <xf numFmtId="43" fontId="8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9" fontId="8" fillId="0" borderId="0" applyFont="0" applyFill="0" applyBorder="0" applyAlignment="0" applyProtection="0"/>
    <xf numFmtId="0" fontId="15" fillId="7" borderId="2" applyNumberFormat="0" applyAlignment="0" applyProtection="0"/>
    <xf numFmtId="0" fontId="8" fillId="9" borderId="17" applyNumberFormat="0" applyFont="0" applyAlignment="0" applyProtection="0"/>
    <xf numFmtId="0" fontId="19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6" borderId="0" applyNumberFormat="0" applyBorder="0" applyAlignment="0" applyProtection="0"/>
    <xf numFmtId="0" fontId="46" fillId="17" borderId="27" applyNumberFormat="0" applyAlignment="0" applyProtection="0"/>
    <xf numFmtId="0" fontId="47" fillId="17" borderId="2" applyNumberFormat="0" applyAlignment="0" applyProtection="0"/>
    <xf numFmtId="0" fontId="48" fillId="0" borderId="28" applyNumberFormat="0" applyFill="0" applyAlignment="0" applyProtection="0"/>
    <xf numFmtId="0" fontId="49" fillId="18" borderId="29" applyNumberFormat="0" applyAlignment="0" applyProtection="0"/>
    <xf numFmtId="0" fontId="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" fillId="0" borderId="30" applyNumberFormat="0" applyFill="0" applyAlignment="0" applyProtection="0"/>
    <xf numFmtId="0" fontId="10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10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6">
    <xf numFmtId="0" fontId="0" fillId="0" borderId="0" xfId="0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8" fontId="17" fillId="5" borderId="1" xfId="1" applyNumberFormat="1" applyFont="1" applyFill="1" applyBorder="1" applyAlignment="1">
      <alignment horizontal="right"/>
    </xf>
    <xf numFmtId="165" fontId="17" fillId="5" borderId="1" xfId="4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3" fontId="17" fillId="6" borderId="1" xfId="1" applyNumberFormat="1" applyFont="1" applyFill="1" applyBorder="1"/>
    <xf numFmtId="164" fontId="0" fillId="6" borderId="1" xfId="1" applyNumberFormat="1" applyFont="1" applyFill="1" applyBorder="1"/>
    <xf numFmtId="0" fontId="0" fillId="5" borderId="1" xfId="0" applyFill="1" applyBorder="1"/>
    <xf numFmtId="39" fontId="0" fillId="6" borderId="1" xfId="0" applyNumberFormat="1" applyFill="1" applyBorder="1"/>
    <xf numFmtId="164" fontId="17" fillId="5" borderId="1" xfId="1" applyNumberFormat="1" applyFont="1" applyFill="1" applyBorder="1" applyAlignment="1">
      <alignment horizontal="right"/>
    </xf>
    <xf numFmtId="164" fontId="17" fillId="6" borderId="1" xfId="0" applyNumberFormat="1" applyFont="1" applyFill="1" applyBorder="1"/>
    <xf numFmtId="0" fontId="0" fillId="0" borderId="0" xfId="0" applyAlignment="1">
      <alignment horizontal="center" vertical="center"/>
    </xf>
    <xf numFmtId="164" fontId="17" fillId="6" borderId="1" xfId="1" applyNumberFormat="1" applyFont="1" applyFill="1" applyBorder="1"/>
    <xf numFmtId="0" fontId="17" fillId="0" borderId="0" xfId="0" applyFont="1"/>
    <xf numFmtId="0" fontId="13" fillId="0" borderId="0" xfId="0" applyFont="1" applyAlignment="1">
      <alignment horizontal="center" wrapText="1"/>
    </xf>
    <xf numFmtId="164" fontId="0" fillId="0" borderId="0" xfId="1" applyNumberFormat="1" applyFont="1" applyFill="1" applyBorder="1"/>
    <xf numFmtId="3" fontId="12" fillId="4" borderId="1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9" fontId="18" fillId="4" borderId="1" xfId="4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20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22" fillId="0" borderId="0" xfId="0" applyFont="1"/>
    <xf numFmtId="0" fontId="0" fillId="0" borderId="0" xfId="0" applyAlignment="1">
      <alignment wrapText="1"/>
    </xf>
    <xf numFmtId="3" fontId="18" fillId="8" borderId="1" xfId="0" applyNumberFormat="1" applyFont="1" applyFill="1" applyBorder="1" applyAlignment="1">
      <alignment horizontal="center"/>
    </xf>
    <xf numFmtId="170" fontId="18" fillId="8" borderId="1" xfId="0" applyNumberFormat="1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165" fontId="18" fillId="4" borderId="1" xfId="0" applyNumberFormat="1" applyFont="1" applyFill="1" applyBorder="1" applyAlignment="1">
      <alignment horizontal="center"/>
    </xf>
    <xf numFmtId="167" fontId="18" fillId="4" borderId="1" xfId="0" applyNumberFormat="1" applyFont="1" applyFill="1" applyBorder="1" applyAlignment="1">
      <alignment horizontal="center"/>
    </xf>
    <xf numFmtId="164" fontId="17" fillId="0" borderId="0" xfId="1" applyNumberFormat="1" applyFont="1" applyFill="1" applyBorder="1"/>
    <xf numFmtId="166" fontId="17" fillId="5" borderId="1" xfId="4" applyNumberFormat="1" applyFont="1" applyFill="1" applyBorder="1" applyAlignment="1">
      <alignment horizontal="right"/>
    </xf>
    <xf numFmtId="0" fontId="18" fillId="0" borderId="0" xfId="0" applyFont="1"/>
    <xf numFmtId="164" fontId="13" fillId="0" borderId="0" xfId="0" applyNumberFormat="1" applyFont="1"/>
    <xf numFmtId="0" fontId="23" fillId="0" borderId="4" xfId="0" applyFont="1" applyBorder="1" applyAlignment="1">
      <alignment vertical="center"/>
    </xf>
    <xf numFmtId="0" fontId="18" fillId="4" borderId="1" xfId="4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17" fillId="0" borderId="0" xfId="7" applyFont="1"/>
    <xf numFmtId="171" fontId="0" fillId="6" borderId="1" xfId="0" applyNumberFormat="1" applyFill="1" applyBorder="1"/>
    <xf numFmtId="4" fontId="17" fillId="6" borderId="1" xfId="1" applyNumberFormat="1" applyFont="1" applyFill="1" applyBorder="1"/>
    <xf numFmtId="1" fontId="18" fillId="8" borderId="1" xfId="0" applyNumberFormat="1" applyFont="1" applyFill="1" applyBorder="1" applyAlignment="1">
      <alignment horizontal="center"/>
    </xf>
    <xf numFmtId="9" fontId="18" fillId="8" borderId="1" xfId="4" applyFont="1" applyFill="1" applyBorder="1" applyAlignment="1">
      <alignment horizontal="center"/>
    </xf>
    <xf numFmtId="4" fontId="0" fillId="6" borderId="1" xfId="0" applyNumberFormat="1" applyFill="1" applyBorder="1"/>
    <xf numFmtId="169" fontId="17" fillId="6" borderId="1" xfId="0" applyNumberFormat="1" applyFont="1" applyFill="1" applyBorder="1"/>
    <xf numFmtId="3" fontId="0" fillId="0" borderId="0" xfId="0" applyNumberFormat="1"/>
    <xf numFmtId="0" fontId="12" fillId="0" borderId="0" xfId="0" applyFont="1" applyAlignment="1">
      <alignment horizontal="center"/>
    </xf>
    <xf numFmtId="165" fontId="14" fillId="5" borderId="1" xfId="4" applyNumberFormat="1" applyFont="1" applyFill="1" applyBorder="1" applyAlignment="1">
      <alignment horizontal="right"/>
    </xf>
    <xf numFmtId="1" fontId="14" fillId="5" borderId="1" xfId="4" applyNumberFormat="1" applyFont="1" applyFill="1" applyBorder="1" applyAlignment="1">
      <alignment horizontal="right"/>
    </xf>
    <xf numFmtId="164" fontId="14" fillId="6" borderId="5" xfId="0" applyNumberFormat="1" applyFont="1" applyFill="1" applyBorder="1"/>
    <xf numFmtId="2" fontId="14" fillId="5" borderId="1" xfId="4" applyNumberFormat="1" applyFont="1" applyFill="1" applyBorder="1" applyAlignment="1">
      <alignment horizontal="right"/>
    </xf>
    <xf numFmtId="164" fontId="14" fillId="0" borderId="0" xfId="0" applyNumberFormat="1" applyFont="1"/>
    <xf numFmtId="0" fontId="38" fillId="0" borderId="0" xfId="27" applyFont="1"/>
    <xf numFmtId="0" fontId="17" fillId="0" borderId="0" xfId="0" applyFont="1" applyAlignment="1">
      <alignment wrapText="1"/>
    </xf>
    <xf numFmtId="170" fontId="12" fillId="8" borderId="1" xfId="0" applyNumberFormat="1" applyFont="1" applyFill="1" applyBorder="1" applyAlignment="1">
      <alignment horizontal="center"/>
    </xf>
    <xf numFmtId="37" fontId="18" fillId="0" borderId="0" xfId="0" applyNumberFormat="1" applyFont="1"/>
    <xf numFmtId="0" fontId="17" fillId="0" borderId="0" xfId="27" applyFont="1"/>
    <xf numFmtId="2" fontId="17" fillId="5" borderId="1" xfId="4" applyNumberFormat="1" applyFont="1" applyFill="1" applyBorder="1" applyAlignment="1">
      <alignment horizontal="right"/>
    </xf>
    <xf numFmtId="43" fontId="17" fillId="5" borderId="1" xfId="1" applyFont="1" applyFill="1" applyBorder="1" applyAlignment="1">
      <alignment horizontal="right"/>
    </xf>
    <xf numFmtId="2" fontId="17" fillId="5" borderId="18" xfId="4" applyNumberFormat="1" applyFont="1" applyFill="1" applyBorder="1" applyAlignment="1">
      <alignment horizontal="right"/>
    </xf>
    <xf numFmtId="43" fontId="17" fillId="0" borderId="0" xfId="0" applyNumberFormat="1" applyFont="1"/>
    <xf numFmtId="168" fontId="17" fillId="6" borderId="1" xfId="0" applyNumberFormat="1" applyFont="1" applyFill="1" applyBorder="1"/>
    <xf numFmtId="4" fontId="0" fillId="0" borderId="0" xfId="0" applyNumberFormat="1"/>
    <xf numFmtId="0" fontId="17" fillId="0" borderId="0" xfId="0" applyFont="1" applyAlignment="1">
      <alignment horizontal="left" indent="1"/>
    </xf>
    <xf numFmtId="4" fontId="17" fillId="5" borderId="1" xfId="4" applyNumberFormat="1" applyFont="1" applyFill="1" applyBorder="1" applyAlignment="1">
      <alignment horizontal="right"/>
    </xf>
    <xf numFmtId="9" fontId="14" fillId="5" borderId="1" xfId="4" applyFont="1" applyFill="1" applyBorder="1" applyAlignment="1">
      <alignment horizontal="right"/>
    </xf>
    <xf numFmtId="164" fontId="14" fillId="6" borderId="1" xfId="0" applyNumberFormat="1" applyFont="1" applyFill="1" applyBorder="1"/>
    <xf numFmtId="2" fontId="17" fillId="0" borderId="0" xfId="4" applyNumberFormat="1" applyFont="1" applyFill="1" applyBorder="1" applyAlignment="1">
      <alignment horizontal="right"/>
    </xf>
    <xf numFmtId="0" fontId="49" fillId="46" borderId="20" xfId="0" applyFont="1" applyFill="1" applyBorder="1" applyAlignment="1">
      <alignment horizontal="center" vertical="center" shrinkToFit="1"/>
    </xf>
    <xf numFmtId="0" fontId="17" fillId="43" borderId="0" xfId="0" quotePrefix="1" applyFont="1" applyFill="1" applyAlignment="1">
      <alignment horizontal="centerContinuous" vertical="center"/>
    </xf>
    <xf numFmtId="0" fontId="18" fillId="43" borderId="0" xfId="0" applyFont="1" applyFill="1" applyAlignment="1">
      <alignment horizontal="centerContinuous" vertical="center" shrinkToFit="1"/>
    </xf>
    <xf numFmtId="0" fontId="49" fillId="46" borderId="19" xfId="0" applyFont="1" applyFill="1" applyBorder="1" applyAlignment="1">
      <alignment horizontal="center" vertical="center"/>
    </xf>
    <xf numFmtId="0" fontId="49" fillId="46" borderId="22" xfId="0" applyFont="1" applyFill="1" applyBorder="1" applyAlignment="1">
      <alignment horizontal="center" vertical="center"/>
    </xf>
    <xf numFmtId="0" fontId="58" fillId="43" borderId="0" xfId="0" applyFont="1" applyFill="1" applyAlignment="1">
      <alignment horizontal="centerContinuous" vertical="center"/>
    </xf>
    <xf numFmtId="0" fontId="0" fillId="45" borderId="0" xfId="0" applyFill="1"/>
    <xf numFmtId="0" fontId="0" fillId="42" borderId="3" xfId="0" applyFill="1" applyBorder="1" applyAlignment="1">
      <alignment vertical="center" shrinkToFit="1"/>
    </xf>
    <xf numFmtId="0" fontId="0" fillId="42" borderId="21" xfId="0" applyFill="1" applyBorder="1" applyAlignment="1">
      <alignment vertical="center"/>
    </xf>
    <xf numFmtId="0" fontId="0" fillId="49" borderId="0" xfId="0" applyFill="1"/>
    <xf numFmtId="0" fontId="12" fillId="49" borderId="9" xfId="0" applyFont="1" applyFill="1" applyBorder="1" applyAlignment="1">
      <alignment horizontal="right" indent="2"/>
    </xf>
    <xf numFmtId="0" fontId="12" fillId="49" borderId="14" xfId="0" applyFont="1" applyFill="1" applyBorder="1" applyAlignment="1">
      <alignment horizontal="right" indent="2"/>
    </xf>
    <xf numFmtId="0" fontId="0" fillId="0" borderId="14" xfId="0" applyBorder="1"/>
    <xf numFmtId="0" fontId="17" fillId="49" borderId="0" xfId="0" applyFont="1" applyFill="1"/>
    <xf numFmtId="0" fontId="17" fillId="49" borderId="0" xfId="0" applyFont="1" applyFill="1" applyAlignment="1">
      <alignment horizontal="left" indent="1"/>
    </xf>
    <xf numFmtId="0" fontId="17" fillId="49" borderId="0" xfId="17" applyFont="1" applyFill="1"/>
    <xf numFmtId="0" fontId="9" fillId="45" borderId="0" xfId="0" applyFont="1" applyFill="1"/>
    <xf numFmtId="0" fontId="17" fillId="49" borderId="0" xfId="0" applyFont="1" applyFill="1" applyAlignment="1">
      <alignment horizontal="left"/>
    </xf>
    <xf numFmtId="3" fontId="12" fillId="0" borderId="0" xfId="0" applyNumberFormat="1" applyFont="1" applyAlignment="1">
      <alignment horizontal="center"/>
    </xf>
    <xf numFmtId="0" fontId="11" fillId="0" borderId="0" xfId="2" applyFont="1" applyFill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60" fillId="45" borderId="0" xfId="0" applyFont="1" applyFill="1"/>
    <xf numFmtId="0" fontId="17" fillId="49" borderId="0" xfId="0" applyFont="1" applyFill="1" applyAlignment="1">
      <alignment horizontal="left" wrapText="1"/>
    </xf>
    <xf numFmtId="169" fontId="17" fillId="0" borderId="0" xfId="0" applyNumberFormat="1" applyFont="1"/>
    <xf numFmtId="0" fontId="12" fillId="49" borderId="23" xfId="174" applyFont="1" applyFill="1" applyBorder="1" applyAlignment="1">
      <alignment horizontal="right" indent="2"/>
    </xf>
    <xf numFmtId="0" fontId="29" fillId="45" borderId="0" xfId="0" applyFont="1" applyFill="1"/>
    <xf numFmtId="1" fontId="17" fillId="43" borderId="21" xfId="4" applyNumberFormat="1" applyFont="1" applyFill="1" applyBorder="1" applyAlignment="1">
      <alignment horizontal="right" vertical="center"/>
    </xf>
    <xf numFmtId="0" fontId="25" fillId="45" borderId="0" xfId="5" applyFont="1" applyFill="1" applyBorder="1" applyAlignment="1">
      <alignment horizontal="left"/>
    </xf>
    <xf numFmtId="0" fontId="26" fillId="0" borderId="0" xfId="0" applyFont="1" applyAlignment="1">
      <alignment horizontal="center" wrapText="1"/>
    </xf>
    <xf numFmtId="0" fontId="10" fillId="0" borderId="0" xfId="2" applyFill="1" applyAlignment="1">
      <alignment horizontal="center" vertical="center" wrapText="1"/>
    </xf>
    <xf numFmtId="0" fontId="27" fillId="45" borderId="0" xfId="0" applyFont="1" applyFill="1" applyAlignment="1">
      <alignment horizontal="left" wrapText="1"/>
    </xf>
    <xf numFmtId="0" fontId="59" fillId="44" borderId="0" xfId="174" applyFont="1" applyFill="1"/>
    <xf numFmtId="0" fontId="0" fillId="0" borderId="0" xfId="4" applyNumberFormat="1" applyFont="1" applyFill="1" applyBorder="1"/>
    <xf numFmtId="0" fontId="8" fillId="44" borderId="0" xfId="174" applyFill="1"/>
    <xf numFmtId="0" fontId="8" fillId="45" borderId="0" xfId="0" applyFont="1" applyFill="1" applyAlignment="1">
      <alignment wrapText="1"/>
    </xf>
    <xf numFmtId="1" fontId="18" fillId="0" borderId="0" xfId="0" applyNumberFormat="1" applyFont="1" applyAlignment="1">
      <alignment horizontal="center"/>
    </xf>
    <xf numFmtId="0" fontId="10" fillId="45" borderId="0" xfId="3" applyFill="1" applyAlignment="1">
      <alignment vertical="center"/>
    </xf>
    <xf numFmtId="0" fontId="16" fillId="45" borderId="0" xfId="5" applyFont="1" applyFill="1" applyBorder="1" applyAlignment="1">
      <alignment horizontal="center" vertical="center" wrapText="1"/>
    </xf>
    <xf numFmtId="0" fontId="17" fillId="45" borderId="0" xfId="7" applyFont="1" applyFill="1"/>
    <xf numFmtId="0" fontId="22" fillId="45" borderId="0" xfId="0" applyFont="1" applyFill="1"/>
    <xf numFmtId="0" fontId="0" fillId="45" borderId="0" xfId="9" applyFont="1" applyFill="1" applyBorder="1" applyAlignment="1">
      <alignment horizontal="left" vertical="center" wrapText="1"/>
    </xf>
    <xf numFmtId="0" fontId="17" fillId="45" borderId="0" xfId="5" applyFont="1" applyFill="1" applyBorder="1" applyAlignment="1">
      <alignment horizontal="left"/>
    </xf>
    <xf numFmtId="0" fontId="59" fillId="44" borderId="0" xfId="174" applyFont="1" applyFill="1" applyAlignment="1">
      <alignment vertical="center" wrapText="1"/>
    </xf>
    <xf numFmtId="0" fontId="12" fillId="49" borderId="16" xfId="174" applyFont="1" applyFill="1" applyBorder="1" applyAlignment="1">
      <alignment horizontal="right" indent="2"/>
    </xf>
    <xf numFmtId="0" fontId="12" fillId="49" borderId="15" xfId="174" applyFont="1" applyFill="1" applyBorder="1" applyAlignment="1">
      <alignment horizontal="right" indent="2"/>
    </xf>
    <xf numFmtId="0" fontId="8" fillId="0" borderId="0" xfId="174"/>
    <xf numFmtId="0" fontId="59" fillId="0" borderId="0" xfId="174" applyFont="1" applyAlignment="1">
      <alignment horizontal="left" wrapText="1"/>
    </xf>
    <xf numFmtId="0" fontId="18" fillId="0" borderId="0" xfId="174" applyFont="1" applyAlignment="1">
      <alignment horizontal="center" wrapText="1"/>
    </xf>
    <xf numFmtId="0" fontId="28" fillId="45" borderId="0" xfId="0" applyFont="1" applyFill="1"/>
    <xf numFmtId="0" fontId="0" fillId="0" borderId="11" xfId="0" applyBorder="1"/>
    <xf numFmtId="0" fontId="37" fillId="0" borderId="0" xfId="2" applyFont="1" applyFill="1" applyAlignment="1">
      <alignment horizontal="center" vertical="center"/>
    </xf>
    <xf numFmtId="0" fontId="12" fillId="0" borderId="0" xfId="174" applyFont="1" applyAlignment="1">
      <alignment horizontal="right" indent="2"/>
    </xf>
    <xf numFmtId="0" fontId="27" fillId="45" borderId="0" xfId="0" applyFont="1" applyFill="1" applyAlignment="1">
      <alignment horizontal="center" wrapText="1"/>
    </xf>
    <xf numFmtId="9" fontId="18" fillId="0" borderId="0" xfId="4" applyFont="1" applyFill="1" applyBorder="1" applyAlignment="1">
      <alignment horizontal="center"/>
    </xf>
    <xf numFmtId="164" fontId="18" fillId="0" borderId="0" xfId="1" applyNumberFormat="1" applyFont="1" applyFill="1" applyBorder="1"/>
    <xf numFmtId="0" fontId="18" fillId="0" borderId="0" xfId="174" applyFont="1" applyAlignment="1">
      <alignment horizontal="center" vertical="center"/>
    </xf>
    <xf numFmtId="164" fontId="18" fillId="0" borderId="8" xfId="1" applyNumberFormat="1" applyFont="1" applyFill="1" applyBorder="1"/>
    <xf numFmtId="173" fontId="12" fillId="0" borderId="0" xfId="174" applyNumberFormat="1" applyFont="1" applyAlignment="1">
      <alignment horizontal="center" vertical="center"/>
    </xf>
    <xf numFmtId="0" fontId="12" fillId="0" borderId="11" xfId="174" applyFont="1" applyBorder="1" applyAlignment="1">
      <alignment horizontal="left"/>
    </xf>
    <xf numFmtId="0" fontId="59" fillId="44" borderId="0" xfId="174" applyFont="1" applyFill="1" applyAlignment="1">
      <alignment vertical="center"/>
    </xf>
    <xf numFmtId="173" fontId="18" fillId="0" borderId="0" xfId="174" applyNumberFormat="1" applyFont="1" applyAlignment="1">
      <alignment horizontal="center" vertical="center" wrapText="1"/>
    </xf>
    <xf numFmtId="0" fontId="10" fillId="0" borderId="0" xfId="2" applyFill="1" applyAlignment="1">
      <alignment horizontal="center" vertical="center"/>
    </xf>
    <xf numFmtId="0" fontId="59" fillId="44" borderId="0" xfId="174" applyFont="1" applyFill="1" applyAlignment="1">
      <alignment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49" borderId="0" xfId="0" applyFill="1" applyAlignment="1">
      <alignment horizontal="left" indent="1"/>
    </xf>
    <xf numFmtId="0" fontId="0" fillId="49" borderId="0" xfId="0" applyFill="1" applyAlignment="1">
      <alignment horizontal="left"/>
    </xf>
    <xf numFmtId="1" fontId="12" fillId="4" borderId="1" xfId="0" applyNumberFormat="1" applyFont="1" applyFill="1" applyBorder="1" applyAlignment="1">
      <alignment horizontal="center"/>
    </xf>
    <xf numFmtId="0" fontId="0" fillId="42" borderId="3" xfId="0" applyFill="1" applyBorder="1" applyAlignment="1">
      <alignment vertical="center" wrapText="1" shrinkToFit="1"/>
    </xf>
    <xf numFmtId="0" fontId="0" fillId="49" borderId="0" xfId="0" applyFill="1" applyAlignment="1">
      <alignment horizontal="left" wrapText="1" indent="1"/>
    </xf>
    <xf numFmtId="167" fontId="18" fillId="0" borderId="0" xfId="0" applyNumberFormat="1" applyFont="1" applyAlignment="1">
      <alignment horizontal="center"/>
    </xf>
    <xf numFmtId="9" fontId="17" fillId="43" borderId="21" xfId="4" applyFont="1" applyFill="1" applyBorder="1" applyAlignment="1">
      <alignment horizontal="right" vertical="center"/>
    </xf>
    <xf numFmtId="37" fontId="18" fillId="50" borderId="34" xfId="0" applyNumberFormat="1" applyFont="1" applyFill="1" applyBorder="1"/>
    <xf numFmtId="166" fontId="17" fillId="0" borderId="0" xfId="4" applyNumberFormat="1" applyFont="1" applyFill="1" applyBorder="1" applyAlignment="1">
      <alignment horizontal="right"/>
    </xf>
    <xf numFmtId="37" fontId="18" fillId="50" borderId="16" xfId="0" applyNumberFormat="1" applyFont="1" applyFill="1" applyBorder="1"/>
    <xf numFmtId="168" fontId="17" fillId="0" borderId="0" xfId="1" applyNumberFormat="1" applyFont="1" applyFill="1" applyBorder="1" applyAlignment="1">
      <alignment horizontal="right"/>
    </xf>
    <xf numFmtId="165" fontId="17" fillId="43" borderId="21" xfId="4" applyNumberFormat="1" applyFont="1" applyFill="1" applyBorder="1" applyAlignment="1">
      <alignment horizontal="right" vertical="center"/>
    </xf>
    <xf numFmtId="3" fontId="17" fillId="0" borderId="0" xfId="1" applyNumberFormat="1" applyFont="1" applyFill="1" applyBorder="1"/>
    <xf numFmtId="171" fontId="0" fillId="0" borderId="0" xfId="0" applyNumberFormat="1"/>
    <xf numFmtId="164" fontId="17" fillId="0" borderId="0" xfId="1" applyNumberFormat="1" applyFont="1" applyFill="1" applyBorder="1" applyAlignment="1">
      <alignment horizontal="right"/>
    </xf>
    <xf numFmtId="165" fontId="18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3" fontId="18" fillId="0" borderId="0" xfId="1" applyNumberFormat="1" applyFont="1" applyFill="1" applyBorder="1"/>
    <xf numFmtId="43" fontId="0" fillId="45" borderId="0" xfId="0" quotePrefix="1" applyNumberFormat="1" applyFill="1"/>
    <xf numFmtId="43" fontId="17" fillId="0" borderId="0" xfId="1" applyFont="1" applyFill="1" applyBorder="1" applyAlignment="1">
      <alignment horizontal="right"/>
    </xf>
    <xf numFmtId="39" fontId="0" fillId="0" borderId="0" xfId="0" applyNumberFormat="1"/>
    <xf numFmtId="4" fontId="17" fillId="0" borderId="0" xfId="1" applyNumberFormat="1" applyFont="1" applyFill="1" applyBorder="1"/>
    <xf numFmtId="3" fontId="17" fillId="0" borderId="8" xfId="1" applyNumberFormat="1" applyFont="1" applyFill="1" applyBorder="1"/>
    <xf numFmtId="3" fontId="18" fillId="0" borderId="0" xfId="0" applyNumberFormat="1" applyFont="1" applyAlignment="1">
      <alignment horizontal="center"/>
    </xf>
    <xf numFmtId="4" fontId="17" fillId="0" borderId="22" xfId="1" applyNumberFormat="1" applyFont="1" applyFill="1" applyBorder="1"/>
    <xf numFmtId="170" fontId="18" fillId="0" borderId="0" xfId="0" applyNumberFormat="1" applyFont="1" applyAlignment="1">
      <alignment horizontal="center"/>
    </xf>
    <xf numFmtId="0" fontId="17" fillId="0" borderId="8" xfId="0" applyFont="1" applyBorder="1"/>
    <xf numFmtId="4" fontId="17" fillId="0" borderId="6" xfId="1" applyNumberFormat="1" applyFont="1" applyFill="1" applyBorder="1"/>
    <xf numFmtId="0" fontId="8" fillId="45" borderId="0" xfId="0" applyFont="1" applyFill="1"/>
    <xf numFmtId="0" fontId="12" fillId="49" borderId="9" xfId="174" applyFont="1" applyFill="1" applyBorder="1" applyAlignment="1">
      <alignment horizontal="right" indent="2"/>
    </xf>
    <xf numFmtId="0" fontId="12" fillId="49" borderId="14" xfId="174" applyFont="1" applyFill="1" applyBorder="1" applyAlignment="1">
      <alignment horizontal="right" indent="2"/>
    </xf>
    <xf numFmtId="0" fontId="12" fillId="49" borderId="12" xfId="174" applyFont="1" applyFill="1" applyBorder="1" applyAlignment="1">
      <alignment horizontal="right" indent="2"/>
    </xf>
    <xf numFmtId="0" fontId="17" fillId="45" borderId="0" xfId="0" applyFont="1" applyFill="1"/>
    <xf numFmtId="0" fontId="13" fillId="0" borderId="0" xfId="0" applyFont="1" applyAlignment="1">
      <alignment horizontal="center"/>
    </xf>
    <xf numFmtId="0" fontId="14" fillId="49" borderId="0" xfId="0" applyFont="1" applyFill="1" applyAlignment="1">
      <alignment horizontal="left" wrapText="1"/>
    </xf>
    <xf numFmtId="3" fontId="12" fillId="0" borderId="6" xfId="0" applyNumberFormat="1" applyFont="1" applyBorder="1" applyAlignment="1">
      <alignment horizontal="center"/>
    </xf>
    <xf numFmtId="0" fontId="17" fillId="43" borderId="0" xfId="0" applyFont="1" applyFill="1" applyAlignment="1">
      <alignment horizontal="right" vertical="center"/>
    </xf>
    <xf numFmtId="0" fontId="49" fillId="46" borderId="22" xfId="0" applyFont="1" applyFill="1" applyBorder="1" applyAlignment="1">
      <alignment horizontal="right" vertical="center" wrapText="1"/>
    </xf>
    <xf numFmtId="2" fontId="17" fillId="43" borderId="21" xfId="4" applyNumberFormat="1" applyFont="1" applyFill="1" applyBorder="1" applyAlignment="1">
      <alignment horizontal="right" vertical="center"/>
    </xf>
    <xf numFmtId="0" fontId="12" fillId="49" borderId="23" xfId="0" applyFont="1" applyFill="1" applyBorder="1" applyAlignment="1">
      <alignment horizontal="right" indent="2"/>
    </xf>
    <xf numFmtId="0" fontId="12" fillId="49" borderId="15" xfId="0" applyFont="1" applyFill="1" applyBorder="1" applyAlignment="1">
      <alignment horizontal="right" indent="2"/>
    </xf>
    <xf numFmtId="0" fontId="0" fillId="42" borderId="21" xfId="0" applyFill="1" applyBorder="1" applyAlignment="1">
      <alignment vertical="center" wrapText="1"/>
    </xf>
    <xf numFmtId="0" fontId="0" fillId="49" borderId="0" xfId="0" applyFill="1" applyAlignment="1">
      <alignment vertical="center"/>
    </xf>
    <xf numFmtId="0" fontId="0" fillId="5" borderId="1" xfId="0" applyFill="1" applyBorder="1" applyAlignment="1">
      <alignment horizontal="center"/>
    </xf>
    <xf numFmtId="3" fontId="17" fillId="6" borderId="1" xfId="1" applyNumberFormat="1" applyFont="1" applyFill="1" applyBorder="1" applyAlignment="1">
      <alignment horizontal="center"/>
    </xf>
    <xf numFmtId="37" fontId="12" fillId="50" borderId="14" xfId="174" applyNumberFormat="1" applyFont="1" applyFill="1" applyBorder="1" applyAlignment="1">
      <alignment horizontal="right"/>
    </xf>
    <xf numFmtId="164" fontId="14" fillId="6" borderId="5" xfId="0" applyNumberFormat="1" applyFont="1" applyFill="1" applyBorder="1" applyAlignment="1">
      <alignment horizontal="right"/>
    </xf>
    <xf numFmtId="0" fontId="19" fillId="42" borderId="3" xfId="27" applyFill="1" applyBorder="1" applyAlignment="1">
      <alignment vertical="center" shrinkToFit="1"/>
    </xf>
    <xf numFmtId="9" fontId="17" fillId="5" borderId="1" xfId="4" applyFont="1" applyFill="1" applyBorder="1" applyAlignment="1">
      <alignment horizontal="right"/>
    </xf>
    <xf numFmtId="0" fontId="0" fillId="42" borderId="4" xfId="0" applyFill="1" applyBorder="1" applyAlignment="1">
      <alignment vertical="center"/>
    </xf>
    <xf numFmtId="9" fontId="17" fillId="0" borderId="0" xfId="4" applyFont="1" applyFill="1" applyBorder="1" applyAlignment="1">
      <alignment horizontal="right"/>
    </xf>
    <xf numFmtId="2" fontId="14" fillId="0" borderId="0" xfId="4" applyNumberFormat="1" applyFont="1" applyFill="1" applyBorder="1" applyAlignment="1">
      <alignment horizontal="right"/>
    </xf>
    <xf numFmtId="3" fontId="18" fillId="6" borderId="9" xfId="1" applyNumberFormat="1" applyFont="1" applyFill="1" applyBorder="1"/>
    <xf numFmtId="43" fontId="60" fillId="45" borderId="0" xfId="0" quotePrefix="1" applyNumberFormat="1" applyFont="1" applyFill="1"/>
    <xf numFmtId="37" fontId="17" fillId="5" borderId="1" xfId="1" applyNumberFormat="1" applyFont="1" applyFill="1" applyBorder="1" applyAlignment="1">
      <alignment horizontal="right"/>
    </xf>
    <xf numFmtId="9" fontId="18" fillId="8" borderId="1" xfId="0" applyNumberFormat="1" applyFont="1" applyFill="1" applyBorder="1" applyAlignment="1">
      <alignment horizontal="center"/>
    </xf>
    <xf numFmtId="171" fontId="17" fillId="50" borderId="1" xfId="1" applyNumberFormat="1" applyFont="1" applyFill="1" applyBorder="1" applyAlignment="1">
      <alignment horizontal="right"/>
    </xf>
    <xf numFmtId="9" fontId="0" fillId="49" borderId="0" xfId="4" applyFont="1" applyFill="1"/>
    <xf numFmtId="165" fontId="17" fillId="13" borderId="1" xfId="4" applyNumberFormat="1" applyFont="1" applyFill="1" applyBorder="1" applyAlignment="1">
      <alignment horizontal="right"/>
    </xf>
    <xf numFmtId="4" fontId="17" fillId="13" borderId="1" xfId="1" applyNumberFormat="1" applyFont="1" applyFill="1" applyBorder="1"/>
    <xf numFmtId="2" fontId="17" fillId="13" borderId="18" xfId="4" applyNumberFormat="1" applyFont="1" applyFill="1" applyBorder="1" applyAlignment="1">
      <alignment horizontal="right"/>
    </xf>
    <xf numFmtId="171" fontId="17" fillId="0" borderId="0" xfId="1" applyNumberFormat="1" applyFont="1" applyFill="1" applyBorder="1" applyAlignment="1">
      <alignment horizontal="right"/>
    </xf>
    <xf numFmtId="3" fontId="18" fillId="6" borderId="7" xfId="1" applyNumberFormat="1" applyFont="1" applyFill="1" applyBorder="1"/>
    <xf numFmtId="3" fontId="18" fillId="6" borderId="10" xfId="1" applyNumberFormat="1" applyFont="1" applyFill="1" applyBorder="1"/>
    <xf numFmtId="3" fontId="18" fillId="6" borderId="12" xfId="1" applyNumberFormat="1" applyFont="1" applyFill="1" applyBorder="1"/>
    <xf numFmtId="1" fontId="18" fillId="4" borderId="1" xfId="0" applyNumberFormat="1" applyFont="1" applyFill="1" applyBorder="1" applyAlignment="1">
      <alignment horizontal="center" vertical="center"/>
    </xf>
    <xf numFmtId="4" fontId="17" fillId="6" borderId="1" xfId="1" applyNumberFormat="1" applyFont="1" applyFill="1" applyBorder="1" applyAlignment="1">
      <alignment horizontal="right"/>
    </xf>
    <xf numFmtId="164" fontId="13" fillId="6" borderId="34" xfId="0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37" fontId="13" fillId="50" borderId="23" xfId="0" applyNumberFormat="1" applyFont="1" applyFill="1" applyBorder="1" applyAlignment="1">
      <alignment horizontal="right" indent="1"/>
    </xf>
    <xf numFmtId="37" fontId="13" fillId="50" borderId="14" xfId="0" applyNumberFormat="1" applyFont="1" applyFill="1" applyBorder="1" applyAlignment="1">
      <alignment horizontal="right" indent="1"/>
    </xf>
    <xf numFmtId="37" fontId="13" fillId="50" borderId="33" xfId="0" applyNumberFormat="1" applyFont="1" applyFill="1" applyBorder="1" applyAlignment="1">
      <alignment horizontal="right"/>
    </xf>
    <xf numFmtId="174" fontId="62" fillId="50" borderId="14" xfId="174" applyNumberFormat="1" applyFont="1" applyFill="1" applyBorder="1" applyAlignment="1">
      <alignment horizontal="right"/>
    </xf>
    <xf numFmtId="175" fontId="62" fillId="50" borderId="14" xfId="174" applyNumberFormat="1" applyFont="1" applyFill="1" applyBorder="1" applyAlignment="1">
      <alignment horizontal="right"/>
    </xf>
    <xf numFmtId="175" fontId="62" fillId="50" borderId="12" xfId="174" applyNumberFormat="1" applyFont="1" applyFill="1" applyBorder="1" applyAlignment="1">
      <alignment horizontal="right"/>
    </xf>
    <xf numFmtId="37" fontId="18" fillId="0" borderId="8" xfId="0" applyNumberFormat="1" applyFont="1" applyBorder="1"/>
    <xf numFmtId="37" fontId="18" fillId="50" borderId="12" xfId="229" applyNumberFormat="1" applyFont="1" applyFill="1" applyBorder="1" applyAlignment="1">
      <alignment horizontal="right" indent="1"/>
    </xf>
    <xf numFmtId="37" fontId="18" fillId="50" borderId="16" xfId="229" applyNumberFormat="1" applyFont="1" applyFill="1" applyBorder="1" applyAlignment="1">
      <alignment horizontal="right" indent="1"/>
    </xf>
    <xf numFmtId="0" fontId="17" fillId="45" borderId="0" xfId="0" applyFont="1" applyFill="1" applyAlignment="1">
      <alignment horizontal="center"/>
    </xf>
    <xf numFmtId="0" fontId="17" fillId="45" borderId="0" xfId="0" applyFont="1" applyFill="1" applyAlignment="1">
      <alignment horizontal="right"/>
    </xf>
    <xf numFmtId="166" fontId="17" fillId="45" borderId="0" xfId="4" applyNumberFormat="1" applyFont="1" applyFill="1"/>
    <xf numFmtId="49" fontId="17" fillId="45" borderId="0" xfId="0" applyNumberFormat="1" applyFont="1" applyFill="1" applyAlignment="1">
      <alignment horizontal="center"/>
    </xf>
    <xf numFmtId="0" fontId="18" fillId="45" borderId="0" xfId="0" applyFont="1" applyFill="1"/>
    <xf numFmtId="0" fontId="13" fillId="45" borderId="0" xfId="0" applyFont="1" applyFill="1"/>
    <xf numFmtId="166" fontId="17" fillId="45" borderId="0" xfId="0" applyNumberFormat="1" applyFont="1" applyFill="1"/>
    <xf numFmtId="10" fontId="17" fillId="45" borderId="0" xfId="4" applyNumberFormat="1" applyFont="1" applyFill="1" applyBorder="1"/>
    <xf numFmtId="0" fontId="13" fillId="45" borderId="0" xfId="0" applyFont="1" applyFill="1" applyAlignment="1">
      <alignment horizontal="left"/>
    </xf>
    <xf numFmtId="0" fontId="13" fillId="45" borderId="0" xfId="0" applyFont="1" applyFill="1" applyAlignment="1">
      <alignment horizontal="centerContinuous"/>
    </xf>
    <xf numFmtId="0" fontId="17" fillId="45" borderId="0" xfId="0" applyFont="1" applyFill="1" applyAlignment="1">
      <alignment horizontal="centerContinuous"/>
    </xf>
    <xf numFmtId="0" fontId="13" fillId="45" borderId="0" xfId="0" applyFont="1" applyFill="1" applyAlignment="1">
      <alignment horizontal="center" wrapText="1"/>
    </xf>
    <xf numFmtId="166" fontId="17" fillId="45" borderId="0" xfId="4" applyNumberFormat="1" applyFont="1" applyFill="1" applyBorder="1"/>
    <xf numFmtId="164" fontId="17" fillId="45" borderId="0" xfId="1" applyNumberFormat="1" applyFont="1" applyFill="1" applyBorder="1"/>
    <xf numFmtId="0" fontId="13" fillId="4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3" fillId="0" borderId="0" xfId="0" applyFont="1"/>
    <xf numFmtId="10" fontId="17" fillId="0" borderId="0" xfId="4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3" fontId="17" fillId="45" borderId="0" xfId="0" applyNumberFormat="1" applyFont="1" applyFill="1"/>
    <xf numFmtId="0" fontId="17" fillId="45" borderId="0" xfId="3" applyFont="1" applyFill="1" applyBorder="1" applyAlignment="1">
      <alignment vertical="center" wrapText="1"/>
    </xf>
    <xf numFmtId="2" fontId="17" fillId="45" borderId="0" xfId="0" applyNumberFormat="1" applyFont="1" applyFill="1"/>
    <xf numFmtId="0" fontId="17" fillId="0" borderId="0" xfId="3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38" fillId="45" borderId="0" xfId="27" applyFont="1" applyFill="1"/>
    <xf numFmtId="0" fontId="24" fillId="45" borderId="0" xfId="0" applyFont="1" applyFill="1"/>
    <xf numFmtId="0" fontId="64" fillId="51" borderId="36" xfId="0" applyFont="1" applyFill="1" applyBorder="1" applyAlignment="1">
      <alignment horizontal="center" vertical="center" wrapText="1"/>
    </xf>
    <xf numFmtId="0" fontId="64" fillId="51" borderId="37" xfId="0" applyFont="1" applyFill="1" applyBorder="1" applyAlignment="1">
      <alignment horizontal="center" vertical="center" wrapText="1"/>
    </xf>
    <xf numFmtId="0" fontId="64" fillId="51" borderId="35" xfId="0" applyFont="1" applyFill="1" applyBorder="1" applyAlignment="1">
      <alignment horizontal="center" vertical="center" wrapText="1"/>
    </xf>
    <xf numFmtId="0" fontId="65" fillId="51" borderId="35" xfId="0" applyFont="1" applyFill="1" applyBorder="1" applyAlignment="1">
      <alignment horizontal="right" vertical="center" wrapText="1"/>
    </xf>
    <xf numFmtId="0" fontId="24" fillId="0" borderId="0" xfId="0" applyFont="1"/>
    <xf numFmtId="3" fontId="12" fillId="0" borderId="20" xfId="0" applyNumberFormat="1" applyFont="1" applyBorder="1" applyAlignment="1">
      <alignment horizontal="center"/>
    </xf>
    <xf numFmtId="3" fontId="12" fillId="0" borderId="18" xfId="0" applyNumberFormat="1" applyFont="1" applyBorder="1" applyAlignment="1">
      <alignment horizontal="center"/>
    </xf>
    <xf numFmtId="170" fontId="12" fillId="4" borderId="1" xfId="0" applyNumberFormat="1" applyFont="1" applyFill="1" applyBorder="1" applyAlignment="1">
      <alignment horizontal="center"/>
    </xf>
    <xf numFmtId="20" fontId="17" fillId="45" borderId="0" xfId="0" applyNumberFormat="1" applyFont="1" applyFill="1"/>
    <xf numFmtId="0" fontId="17" fillId="45" borderId="0" xfId="0" applyFont="1" applyFill="1" applyAlignment="1">
      <alignment horizontal="left"/>
    </xf>
    <xf numFmtId="3" fontId="12" fillId="4" borderId="20" xfId="0" applyNumberFormat="1" applyFont="1" applyFill="1" applyBorder="1" applyAlignment="1">
      <alignment horizontal="center"/>
    </xf>
    <xf numFmtId="3" fontId="12" fillId="4" borderId="18" xfId="0" applyNumberFormat="1" applyFont="1" applyFill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3" fontId="17" fillId="45" borderId="0" xfId="0" applyNumberFormat="1" applyFont="1" applyFill="1" applyAlignment="1">
      <alignment horizontal="center"/>
    </xf>
    <xf numFmtId="164" fontId="17" fillId="45" borderId="0" xfId="0" applyNumberFormat="1" applyFont="1" applyFill="1"/>
    <xf numFmtId="43" fontId="17" fillId="45" borderId="0" xfId="0" applyNumberFormat="1" applyFont="1" applyFill="1"/>
    <xf numFmtId="176" fontId="17" fillId="5" borderId="1" xfId="1" applyNumberFormat="1" applyFont="1" applyFill="1" applyBorder="1" applyAlignment="1">
      <alignment horizontal="right"/>
    </xf>
    <xf numFmtId="39" fontId="0" fillId="6" borderId="1" xfId="1" applyNumberFormat="1" applyFont="1" applyFill="1" applyBorder="1"/>
    <xf numFmtId="9" fontId="17" fillId="45" borderId="0" xfId="4" applyFont="1" applyFill="1" applyBorder="1"/>
    <xf numFmtId="0" fontId="22" fillId="0" borderId="11" xfId="0" applyFont="1" applyBorder="1"/>
    <xf numFmtId="3" fontId="17" fillId="50" borderId="1" xfId="1" applyNumberFormat="1" applyFont="1" applyFill="1" applyBorder="1" applyAlignment="1">
      <alignment horizontal="right"/>
    </xf>
    <xf numFmtId="165" fontId="17" fillId="43" borderId="21" xfId="4" applyNumberFormat="1" applyFont="1" applyFill="1" applyBorder="1" applyAlignment="1">
      <alignment horizontal="right" vertical="center" wrapText="1"/>
    </xf>
    <xf numFmtId="0" fontId="58" fillId="43" borderId="0" xfId="0" applyFont="1" applyFill="1" applyAlignment="1">
      <alignment horizontal="left" vertical="center"/>
    </xf>
    <xf numFmtId="174" fontId="62" fillId="50" borderId="13" xfId="174" applyNumberFormat="1" applyFont="1" applyFill="1" applyBorder="1" applyAlignment="1">
      <alignment horizontal="right"/>
    </xf>
    <xf numFmtId="175" fontId="62" fillId="50" borderId="13" xfId="174" applyNumberFormat="1" applyFont="1" applyFill="1" applyBorder="1" applyAlignment="1">
      <alignment horizontal="right"/>
    </xf>
    <xf numFmtId="164" fontId="13" fillId="10" borderId="9" xfId="0" applyNumberFormat="1" applyFont="1" applyFill="1" applyBorder="1"/>
    <xf numFmtId="164" fontId="13" fillId="10" borderId="14" xfId="0" applyNumberFormat="1" applyFont="1" applyFill="1" applyBorder="1"/>
    <xf numFmtId="164" fontId="13" fillId="10" borderId="7" xfId="0" applyNumberFormat="1" applyFont="1" applyFill="1" applyBorder="1"/>
    <xf numFmtId="164" fontId="13" fillId="10" borderId="13" xfId="0" applyNumberFormat="1" applyFont="1" applyFill="1" applyBorder="1"/>
    <xf numFmtId="37" fontId="13" fillId="50" borderId="9" xfId="0" applyNumberFormat="1" applyFont="1" applyFill="1" applyBorder="1" applyAlignment="1">
      <alignment horizontal="right" indent="1"/>
    </xf>
    <xf numFmtId="37" fontId="13" fillId="50" borderId="12" xfId="0" applyNumberFormat="1" applyFont="1" applyFill="1" applyBorder="1" applyAlignment="1">
      <alignment horizontal="right"/>
    </xf>
    <xf numFmtId="37" fontId="13" fillId="50" borderId="7" xfId="0" applyNumberFormat="1" applyFont="1" applyFill="1" applyBorder="1" applyAlignment="1">
      <alignment horizontal="right" indent="1"/>
    </xf>
    <xf numFmtId="37" fontId="13" fillId="50" borderId="13" xfId="0" applyNumberFormat="1" applyFont="1" applyFill="1" applyBorder="1" applyAlignment="1">
      <alignment horizontal="right" indent="1"/>
    </xf>
    <xf numFmtId="37" fontId="13" fillId="50" borderId="10" xfId="0" applyNumberFormat="1" applyFont="1" applyFill="1" applyBorder="1" applyAlignment="1">
      <alignment horizontal="right"/>
    </xf>
    <xf numFmtId="164" fontId="13" fillId="6" borderId="9" xfId="0" applyNumberFormat="1" applyFont="1" applyFill="1" applyBorder="1" applyAlignment="1">
      <alignment horizontal="right"/>
    </xf>
    <xf numFmtId="164" fontId="13" fillId="6" borderId="14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3" fillId="6" borderId="7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164" fontId="13" fillId="10" borderId="12" xfId="0" applyNumberFormat="1" applyFont="1" applyFill="1" applyBorder="1"/>
    <xf numFmtId="37" fontId="18" fillId="50" borderId="9" xfId="0" applyNumberFormat="1" applyFont="1" applyFill="1" applyBorder="1"/>
    <xf numFmtId="37" fontId="18" fillId="50" borderId="12" xfId="0" applyNumberFormat="1" applyFont="1" applyFill="1" applyBorder="1"/>
    <xf numFmtId="37" fontId="18" fillId="50" borderId="7" xfId="0" applyNumberFormat="1" applyFont="1" applyFill="1" applyBorder="1"/>
    <xf numFmtId="37" fontId="18" fillId="50" borderId="10" xfId="0" applyNumberFormat="1" applyFont="1" applyFill="1" applyBorder="1"/>
    <xf numFmtId="2" fontId="17" fillId="13" borderId="1" xfId="4" applyNumberFormat="1" applyFont="1" applyFill="1" applyBorder="1" applyAlignment="1">
      <alignment horizontal="right"/>
    </xf>
    <xf numFmtId="0" fontId="0" fillId="0" borderId="8" xfId="0" applyBorder="1"/>
    <xf numFmtId="0" fontId="12" fillId="49" borderId="16" xfId="0" applyFont="1" applyFill="1" applyBorder="1" applyAlignment="1">
      <alignment horizontal="right" indent="2"/>
    </xf>
    <xf numFmtId="175" fontId="62" fillId="50" borderId="0" xfId="174" applyNumberFormat="1" applyFont="1" applyFill="1" applyAlignment="1">
      <alignment horizontal="right"/>
    </xf>
    <xf numFmtId="164" fontId="13" fillId="10" borderId="0" xfId="0" applyNumberFormat="1" applyFont="1" applyFill="1"/>
    <xf numFmtId="175" fontId="62" fillId="50" borderId="11" xfId="174" applyNumberFormat="1" applyFont="1" applyFill="1" applyBorder="1" applyAlignment="1">
      <alignment horizontal="right"/>
    </xf>
    <xf numFmtId="164" fontId="13" fillId="6" borderId="32" xfId="0" applyNumberFormat="1" applyFont="1" applyFill="1" applyBorder="1" applyAlignment="1">
      <alignment horizontal="right"/>
    </xf>
    <xf numFmtId="164" fontId="13" fillId="0" borderId="8" xfId="0" applyNumberFormat="1" applyFont="1" applyBorder="1"/>
    <xf numFmtId="4" fontId="17" fillId="6" borderId="6" xfId="1" applyNumberFormat="1" applyFont="1" applyFill="1" applyBorder="1"/>
    <xf numFmtId="4" fontId="17" fillId="6" borderId="22" xfId="1" applyNumberFormat="1" applyFont="1" applyFill="1" applyBorder="1"/>
    <xf numFmtId="177" fontId="17" fillId="6" borderId="1" xfId="1" applyNumberFormat="1" applyFont="1" applyFill="1" applyBorder="1"/>
    <xf numFmtId="3" fontId="18" fillId="6" borderId="9" xfId="1" applyNumberFormat="1" applyFont="1" applyFill="1" applyBorder="1" applyAlignment="1">
      <alignment horizontal="right"/>
    </xf>
    <xf numFmtId="3" fontId="18" fillId="6" borderId="14" xfId="1" applyNumberFormat="1" applyFont="1" applyFill="1" applyBorder="1" applyAlignment="1">
      <alignment horizontal="right"/>
    </xf>
    <xf numFmtId="177" fontId="17" fillId="5" borderId="1" xfId="4" applyNumberFormat="1" applyFont="1" applyFill="1" applyBorder="1" applyAlignment="1">
      <alignment horizontal="right"/>
    </xf>
    <xf numFmtId="3" fontId="17" fillId="5" borderId="1" xfId="4" applyNumberFormat="1" applyFont="1" applyFill="1" applyBorder="1" applyAlignment="1">
      <alignment horizontal="right"/>
    </xf>
    <xf numFmtId="167" fontId="0" fillId="0" borderId="1" xfId="0" applyNumberFormat="1" applyBorder="1"/>
    <xf numFmtId="0" fontId="0" fillId="8" borderId="1" xfId="0" applyFill="1" applyBorder="1"/>
    <xf numFmtId="167" fontId="0" fillId="8" borderId="1" xfId="0" applyNumberFormat="1" applyFill="1" applyBorder="1"/>
    <xf numFmtId="4" fontId="0" fillId="0" borderId="1" xfId="0" applyNumberFormat="1" applyBorder="1"/>
    <xf numFmtId="4" fontId="0" fillId="8" borderId="1" xfId="0" applyNumberFormat="1" applyFill="1" applyBorder="1"/>
    <xf numFmtId="3" fontId="18" fillId="8" borderId="0" xfId="0" applyNumberFormat="1" applyFont="1" applyFill="1" applyAlignment="1">
      <alignment horizontal="center"/>
    </xf>
    <xf numFmtId="178" fontId="0" fillId="0" borderId="0" xfId="0" applyNumberFormat="1"/>
    <xf numFmtId="43" fontId="17" fillId="0" borderId="0" xfId="1" applyFont="1" applyFill="1" applyBorder="1"/>
    <xf numFmtId="164" fontId="0" fillId="0" borderId="0" xfId="0" applyNumberFormat="1"/>
    <xf numFmtId="169" fontId="0" fillId="0" borderId="0" xfId="0" applyNumberFormat="1"/>
    <xf numFmtId="43" fontId="0" fillId="0" borderId="0" xfId="0" applyNumberFormat="1"/>
    <xf numFmtId="166" fontId="0" fillId="0" borderId="0" xfId="4" applyNumberFormat="1" applyFont="1"/>
    <xf numFmtId="166" fontId="17" fillId="0" borderId="0" xfId="4" applyNumberFormat="1" applyFont="1" applyFill="1"/>
    <xf numFmtId="0" fontId="12" fillId="0" borderId="0" xfId="174" applyFont="1" applyAlignment="1">
      <alignment horizontal="left"/>
    </xf>
    <xf numFmtId="3" fontId="18" fillId="6" borderId="1" xfId="1" applyNumberFormat="1" applyFont="1" applyFill="1" applyBorder="1"/>
    <xf numFmtId="174" fontId="12" fillId="50" borderId="41" xfId="174" applyNumberFormat="1" applyFont="1" applyFill="1" applyBorder="1" applyAlignment="1">
      <alignment horizontal="right"/>
    </xf>
    <xf numFmtId="174" fontId="12" fillId="50" borderId="43" xfId="174" applyNumberFormat="1" applyFont="1" applyFill="1" applyBorder="1" applyAlignment="1">
      <alignment horizontal="right"/>
    </xf>
    <xf numFmtId="3" fontId="18" fillId="6" borderId="45" xfId="1" applyNumberFormat="1" applyFont="1" applyFill="1" applyBorder="1"/>
    <xf numFmtId="3" fontId="18" fillId="6" borderId="40" xfId="1" applyNumberFormat="1" applyFont="1" applyFill="1" applyBorder="1"/>
    <xf numFmtId="7" fontId="18" fillId="6" borderId="41" xfId="0" applyNumberFormat="1" applyFont="1" applyFill="1" applyBorder="1"/>
    <xf numFmtId="0" fontId="0" fillId="0" borderId="10" xfId="0" applyBorder="1"/>
    <xf numFmtId="0" fontId="0" fillId="0" borderId="12" xfId="0" applyBorder="1"/>
    <xf numFmtId="175" fontId="12" fillId="50" borderId="43" xfId="174" applyNumberFormat="1" applyFont="1" applyFill="1" applyBorder="1" applyAlignment="1">
      <alignment horizontal="right"/>
    </xf>
    <xf numFmtId="175" fontId="12" fillId="50" borderId="1" xfId="174" applyNumberFormat="1" applyFont="1" applyFill="1" applyBorder="1" applyAlignment="1">
      <alignment horizontal="right"/>
    </xf>
    <xf numFmtId="174" fontId="12" fillId="50" borderId="40" xfId="174" applyNumberFormat="1" applyFont="1" applyFill="1" applyBorder="1" applyAlignment="1">
      <alignment horizontal="right"/>
    </xf>
    <xf numFmtId="175" fontId="12" fillId="50" borderId="45" xfId="174" applyNumberFormat="1" applyFont="1" applyFill="1" applyBorder="1" applyAlignment="1">
      <alignment horizontal="right"/>
    </xf>
    <xf numFmtId="0" fontId="63" fillId="0" borderId="8" xfId="0" applyFont="1" applyBorder="1"/>
    <xf numFmtId="175" fontId="12" fillId="50" borderId="40" xfId="174" applyNumberFormat="1" applyFont="1" applyFill="1" applyBorder="1" applyAlignment="1">
      <alignment horizontal="right"/>
    </xf>
    <xf numFmtId="174" fontId="62" fillId="50" borderId="40" xfId="174" applyNumberFormat="1" applyFont="1" applyFill="1" applyBorder="1" applyAlignment="1">
      <alignment horizontal="right"/>
    </xf>
    <xf numFmtId="174" fontId="62" fillId="50" borderId="41" xfId="174" applyNumberFormat="1" applyFont="1" applyFill="1" applyBorder="1" applyAlignment="1">
      <alignment horizontal="right"/>
    </xf>
    <xf numFmtId="175" fontId="62" fillId="50" borderId="1" xfId="174" applyNumberFormat="1" applyFont="1" applyFill="1" applyBorder="1" applyAlignment="1">
      <alignment horizontal="right"/>
    </xf>
    <xf numFmtId="174" fontId="62" fillId="50" borderId="43" xfId="174" applyNumberFormat="1" applyFont="1" applyFill="1" applyBorder="1" applyAlignment="1">
      <alignment horizontal="right"/>
    </xf>
    <xf numFmtId="175" fontId="12" fillId="50" borderId="41" xfId="174" applyNumberFormat="1" applyFont="1" applyFill="1" applyBorder="1" applyAlignment="1">
      <alignment horizontal="right"/>
    </xf>
    <xf numFmtId="0" fontId="12" fillId="49" borderId="39" xfId="174" applyFont="1" applyFill="1" applyBorder="1" applyAlignment="1">
      <alignment horizontal="right"/>
    </xf>
    <xf numFmtId="177" fontId="12" fillId="50" borderId="41" xfId="174" applyNumberFormat="1" applyFont="1" applyFill="1" applyBorder="1" applyAlignment="1">
      <alignment horizontal="right"/>
    </xf>
    <xf numFmtId="177" fontId="12" fillId="50" borderId="43" xfId="174" applyNumberFormat="1" applyFont="1" applyFill="1" applyBorder="1" applyAlignment="1">
      <alignment horizontal="right"/>
    </xf>
    <xf numFmtId="174" fontId="12" fillId="50" borderId="49" xfId="174" applyNumberFormat="1" applyFont="1" applyFill="1" applyBorder="1" applyAlignment="1">
      <alignment horizontal="right"/>
    </xf>
    <xf numFmtId="0" fontId="12" fillId="49" borderId="42" xfId="174" applyFont="1" applyFill="1" applyBorder="1" applyAlignment="1">
      <alignment horizontal="right"/>
    </xf>
    <xf numFmtId="0" fontId="12" fillId="49" borderId="44" xfId="174" applyFont="1" applyFill="1" applyBorder="1" applyAlignment="1">
      <alignment horizontal="right"/>
    </xf>
    <xf numFmtId="0" fontId="12" fillId="49" borderId="39" xfId="0" applyFont="1" applyFill="1" applyBorder="1" applyAlignment="1">
      <alignment horizontal="right"/>
    </xf>
    <xf numFmtId="0" fontId="12" fillId="49" borderId="42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18" fillId="0" borderId="7" xfId="1" applyNumberFormat="1" applyFont="1" applyFill="1" applyBorder="1"/>
    <xf numFmtId="37" fontId="18" fillId="0" borderId="10" xfId="229" applyNumberFormat="1" applyFont="1" applyBorder="1" applyAlignment="1">
      <alignment horizontal="right" indent="1"/>
    </xf>
    <xf numFmtId="37" fontId="18" fillId="0" borderId="11" xfId="229" applyNumberFormat="1" applyFont="1" applyBorder="1" applyAlignment="1">
      <alignment horizontal="right" indent="1"/>
    </xf>
    <xf numFmtId="3" fontId="18" fillId="0" borderId="1" xfId="1" applyNumberFormat="1" applyFont="1" applyFill="1" applyBorder="1"/>
    <xf numFmtId="3" fontId="18" fillId="0" borderId="40" xfId="1" applyNumberFormat="1" applyFont="1" applyFill="1" applyBorder="1"/>
    <xf numFmtId="3" fontId="18" fillId="0" borderId="45" xfId="1" applyNumberFormat="1" applyFont="1" applyFill="1" applyBorder="1"/>
    <xf numFmtId="3" fontId="18" fillId="0" borderId="38" xfId="1" applyNumberFormat="1" applyFont="1" applyFill="1" applyBorder="1"/>
    <xf numFmtId="1" fontId="17" fillId="45" borderId="0" xfId="0" applyNumberFormat="1" applyFont="1" applyFill="1"/>
    <xf numFmtId="4" fontId="17" fillId="13" borderId="1" xfId="4" applyNumberFormat="1" applyFont="1" applyFill="1" applyBorder="1" applyAlignment="1">
      <alignment horizontal="right"/>
    </xf>
    <xf numFmtId="4" fontId="17" fillId="13" borderId="18" xfId="4" applyNumberFormat="1" applyFont="1" applyFill="1" applyBorder="1" applyAlignment="1">
      <alignment horizontal="right"/>
    </xf>
    <xf numFmtId="2" fontId="17" fillId="5" borderId="1" xfId="4" applyNumberFormat="1" applyFont="1" applyFill="1" applyBorder="1" applyAlignment="1">
      <alignment horizontal="center"/>
    </xf>
    <xf numFmtId="9" fontId="18" fillId="4" borderId="0" xfId="4" applyFont="1" applyFill="1" applyBorder="1" applyAlignment="1">
      <alignment horizontal="center"/>
    </xf>
    <xf numFmtId="0" fontId="12" fillId="0" borderId="42" xfId="174" applyFont="1" applyBorder="1" applyAlignment="1">
      <alignment horizontal="right"/>
    </xf>
    <xf numFmtId="0" fontId="12" fillId="0" borderId="44" xfId="174" applyFont="1" applyBorder="1" applyAlignment="1">
      <alignment horizontal="right"/>
    </xf>
    <xf numFmtId="0" fontId="12" fillId="0" borderId="39" xfId="174" applyFont="1" applyBorder="1" applyAlignment="1">
      <alignment horizontal="right"/>
    </xf>
    <xf numFmtId="174" fontId="12" fillId="50" borderId="46" xfId="174" applyNumberFormat="1" applyFont="1" applyFill="1" applyBorder="1" applyAlignment="1">
      <alignment horizontal="right"/>
    </xf>
    <xf numFmtId="0" fontId="12" fillId="0" borderId="48" xfId="174" applyFont="1" applyBorder="1" applyAlignment="1">
      <alignment horizontal="right"/>
    </xf>
    <xf numFmtId="4" fontId="18" fillId="50" borderId="41" xfId="1" applyNumberFormat="1" applyFont="1" applyFill="1" applyBorder="1"/>
    <xf numFmtId="4" fontId="18" fillId="50" borderId="43" xfId="1" applyNumberFormat="1" applyFont="1" applyFill="1" applyBorder="1"/>
    <xf numFmtId="4" fontId="18" fillId="50" borderId="46" xfId="1" applyNumberFormat="1" applyFont="1" applyFill="1" applyBorder="1"/>
    <xf numFmtId="0" fontId="22" fillId="50" borderId="0" xfId="0" applyFont="1" applyFill="1"/>
    <xf numFmtId="7" fontId="18" fillId="50" borderId="41" xfId="0" applyNumberFormat="1" applyFont="1" applyFill="1" applyBorder="1"/>
    <xf numFmtId="37" fontId="18" fillId="50" borderId="43" xfId="0" applyNumberFormat="1" applyFont="1" applyFill="1" applyBorder="1"/>
    <xf numFmtId="7" fontId="18" fillId="50" borderId="43" xfId="0" applyNumberFormat="1" applyFont="1" applyFill="1" applyBorder="1"/>
    <xf numFmtId="7" fontId="18" fillId="50" borderId="46" xfId="0" applyNumberFormat="1" applyFont="1" applyFill="1" applyBorder="1"/>
    <xf numFmtId="0" fontId="0" fillId="52" borderId="1" xfId="0" applyFill="1" applyBorder="1"/>
    <xf numFmtId="0" fontId="0" fillId="53" borderId="1" xfId="0" applyFill="1" applyBorder="1"/>
    <xf numFmtId="2" fontId="0" fillId="8" borderId="1" xfId="0" applyNumberFormat="1" applyFill="1" applyBorder="1"/>
    <xf numFmtId="170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165" fontId="0" fillId="8" borderId="1" xfId="0" applyNumberFormat="1" applyFill="1" applyBorder="1"/>
    <xf numFmtId="0" fontId="12" fillId="49" borderId="44" xfId="0" applyFont="1" applyFill="1" applyBorder="1" applyAlignment="1">
      <alignment horizontal="right"/>
    </xf>
    <xf numFmtId="3" fontId="18" fillId="50" borderId="40" xfId="1" applyNumberFormat="1" applyFont="1" applyFill="1" applyBorder="1"/>
    <xf numFmtId="3" fontId="18" fillId="50" borderId="1" xfId="1" applyNumberFormat="1" applyFont="1" applyFill="1" applyBorder="1"/>
    <xf numFmtId="3" fontId="18" fillId="50" borderId="45" xfId="1" applyNumberFormat="1" applyFont="1" applyFill="1" applyBorder="1"/>
    <xf numFmtId="177" fontId="12" fillId="50" borderId="46" xfId="174" applyNumberFormat="1" applyFont="1" applyFill="1" applyBorder="1" applyAlignment="1">
      <alignment horizontal="right"/>
    </xf>
    <xf numFmtId="0" fontId="0" fillId="50" borderId="0" xfId="0" applyFill="1"/>
    <xf numFmtId="37" fontId="13" fillId="50" borderId="40" xfId="1" applyNumberFormat="1" applyFont="1" applyFill="1" applyBorder="1"/>
    <xf numFmtId="39" fontId="13" fillId="50" borderId="41" xfId="1" applyNumberFormat="1" applyFont="1" applyFill="1" applyBorder="1"/>
    <xf numFmtId="37" fontId="13" fillId="50" borderId="1" xfId="1" applyNumberFormat="1" applyFont="1" applyFill="1" applyBorder="1"/>
    <xf numFmtId="39" fontId="13" fillId="50" borderId="43" xfId="1" applyNumberFormat="1" applyFont="1" applyFill="1" applyBorder="1"/>
    <xf numFmtId="37" fontId="13" fillId="50" borderId="45" xfId="1" applyNumberFormat="1" applyFont="1" applyFill="1" applyBorder="1"/>
    <xf numFmtId="39" fontId="13" fillId="50" borderId="46" xfId="1" applyNumberFormat="1" applyFont="1" applyFill="1" applyBorder="1"/>
    <xf numFmtId="175" fontId="62" fillId="50" borderId="45" xfId="174" applyNumberFormat="1" applyFont="1" applyFill="1" applyBorder="1" applyAlignment="1">
      <alignment horizontal="right"/>
    </xf>
    <xf numFmtId="174" fontId="62" fillId="50" borderId="46" xfId="174" applyNumberFormat="1" applyFont="1" applyFill="1" applyBorder="1" applyAlignment="1">
      <alignment horizontal="right"/>
    </xf>
    <xf numFmtId="175" fontId="12" fillId="50" borderId="46" xfId="174" applyNumberFormat="1" applyFont="1" applyFill="1" applyBorder="1" applyAlignment="1">
      <alignment horizontal="right"/>
    </xf>
    <xf numFmtId="177" fontId="18" fillId="50" borderId="41" xfId="1" applyNumberFormat="1" applyFont="1" applyFill="1" applyBorder="1"/>
    <xf numFmtId="177" fontId="18" fillId="50" borderId="43" xfId="1" applyNumberFormat="1" applyFont="1" applyFill="1" applyBorder="1"/>
    <xf numFmtId="177" fontId="18" fillId="50" borderId="46" xfId="1" applyNumberFormat="1" applyFont="1" applyFill="1" applyBorder="1"/>
    <xf numFmtId="0" fontId="0" fillId="42" borderId="5" xfId="0" applyFill="1" applyBorder="1" applyAlignment="1">
      <alignment vertical="center"/>
    </xf>
    <xf numFmtId="165" fontId="17" fillId="43" borderId="5" xfId="4" applyNumberFormat="1" applyFont="1" applyFill="1" applyBorder="1" applyAlignment="1">
      <alignment horizontal="right" vertical="center"/>
    </xf>
    <xf numFmtId="0" fontId="0" fillId="42" borderId="56" xfId="0" applyFill="1" applyBorder="1" applyAlignment="1">
      <alignment vertical="center" shrinkToFit="1"/>
    </xf>
    <xf numFmtId="0" fontId="0" fillId="42" borderId="38" xfId="0" applyFill="1" applyBorder="1" applyAlignment="1">
      <alignment vertical="center"/>
    </xf>
    <xf numFmtId="165" fontId="17" fillId="43" borderId="38" xfId="4" applyNumberFormat="1" applyFont="1" applyFill="1" applyBorder="1" applyAlignment="1">
      <alignment horizontal="right" vertical="center" wrapText="1"/>
    </xf>
    <xf numFmtId="0" fontId="0" fillId="42" borderId="57" xfId="0" applyFill="1" applyBorder="1" applyAlignment="1">
      <alignment vertical="center" shrinkToFit="1"/>
    </xf>
    <xf numFmtId="0" fontId="17" fillId="42" borderId="0" xfId="0" applyFont="1" applyFill="1" applyAlignment="1">
      <alignment horizontal="left"/>
    </xf>
    <xf numFmtId="164" fontId="13" fillId="50" borderId="23" xfId="0" applyNumberFormat="1" applyFont="1" applyFill="1" applyBorder="1" applyAlignment="1">
      <alignment horizontal="center"/>
    </xf>
    <xf numFmtId="164" fontId="13" fillId="50" borderId="15" xfId="0" applyNumberFormat="1" applyFont="1" applyFill="1" applyBorder="1" applyAlignment="1">
      <alignment horizontal="center"/>
    </xf>
    <xf numFmtId="164" fontId="13" fillId="50" borderId="7" xfId="0" applyNumberFormat="1" applyFont="1" applyFill="1" applyBorder="1" applyAlignment="1">
      <alignment horizontal="center"/>
    </xf>
    <xf numFmtId="164" fontId="13" fillId="50" borderId="9" xfId="0" applyNumberFormat="1" applyFont="1" applyFill="1" applyBorder="1" applyAlignment="1">
      <alignment horizontal="center"/>
    </xf>
    <xf numFmtId="164" fontId="13" fillId="50" borderId="13" xfId="0" applyNumberFormat="1" applyFont="1" applyFill="1" applyBorder="1" applyAlignment="1">
      <alignment horizontal="center"/>
    </xf>
    <xf numFmtId="164" fontId="13" fillId="50" borderId="14" xfId="0" applyNumberFormat="1" applyFont="1" applyFill="1" applyBorder="1" applyAlignment="1">
      <alignment horizontal="center"/>
    </xf>
    <xf numFmtId="164" fontId="13" fillId="50" borderId="0" xfId="0" applyNumberFormat="1" applyFont="1" applyFill="1" applyAlignment="1">
      <alignment horizontal="center"/>
    </xf>
    <xf numFmtId="164" fontId="13" fillId="50" borderId="10" xfId="0" applyNumberFormat="1" applyFont="1" applyFill="1" applyBorder="1" applyAlignment="1">
      <alignment horizontal="center"/>
    </xf>
    <xf numFmtId="164" fontId="13" fillId="50" borderId="12" xfId="0" applyNumberFormat="1" applyFont="1" applyFill="1" applyBorder="1" applyAlignment="1">
      <alignment horizontal="center"/>
    </xf>
    <xf numFmtId="0" fontId="0" fillId="50" borderId="8" xfId="0" applyFill="1" applyBorder="1"/>
    <xf numFmtId="164" fontId="18" fillId="50" borderId="9" xfId="1" applyNumberFormat="1" applyFont="1" applyFill="1" applyBorder="1" applyProtection="1"/>
    <xf numFmtId="0" fontId="0" fillId="50" borderId="10" xfId="0" applyFill="1" applyBorder="1"/>
    <xf numFmtId="0" fontId="0" fillId="50" borderId="11" xfId="0" applyFill="1" applyBorder="1"/>
    <xf numFmtId="0" fontId="17" fillId="0" borderId="8" xfId="7" applyFont="1" applyBorder="1"/>
    <xf numFmtId="164" fontId="18" fillId="0" borderId="0" xfId="1" applyNumberFormat="1" applyFont="1" applyFill="1" applyBorder="1" applyProtection="1"/>
    <xf numFmtId="164" fontId="17" fillId="0" borderId="0" xfId="0" applyNumberFormat="1" applyFont="1"/>
    <xf numFmtId="0" fontId="0" fillId="50" borderId="40" xfId="0" applyFill="1" applyBorder="1"/>
    <xf numFmtId="39" fontId="18" fillId="50" borderId="41" xfId="0" applyNumberFormat="1" applyFont="1" applyFill="1" applyBorder="1"/>
    <xf numFmtId="39" fontId="18" fillId="50" borderId="43" xfId="0" applyNumberFormat="1" applyFont="1" applyFill="1" applyBorder="1"/>
    <xf numFmtId="0" fontId="0" fillId="50" borderId="1" xfId="0" applyFill="1" applyBorder="1"/>
    <xf numFmtId="3" fontId="18" fillId="6" borderId="1" xfId="1" applyNumberFormat="1" applyFont="1" applyFill="1" applyBorder="1" applyProtection="1"/>
    <xf numFmtId="3" fontId="18" fillId="6" borderId="45" xfId="1" applyNumberFormat="1" applyFont="1" applyFill="1" applyBorder="1" applyProtection="1"/>
    <xf numFmtId="39" fontId="18" fillId="50" borderId="46" xfId="0" applyNumberFormat="1" applyFont="1" applyFill="1" applyBorder="1"/>
    <xf numFmtId="3" fontId="18" fillId="8" borderId="45" xfId="1" applyNumberFormat="1" applyFont="1" applyFill="1" applyBorder="1" applyProtection="1"/>
    <xf numFmtId="0" fontId="18" fillId="50" borderId="0" xfId="0" applyFont="1" applyFill="1" applyAlignment="1">
      <alignment horizontal="center"/>
    </xf>
    <xf numFmtId="5" fontId="12" fillId="50" borderId="41" xfId="174" applyNumberFormat="1" applyFont="1" applyFill="1" applyBorder="1" applyAlignment="1">
      <alignment horizontal="right"/>
    </xf>
    <xf numFmtId="37" fontId="12" fillId="50" borderId="43" xfId="174" applyNumberFormat="1" applyFont="1" applyFill="1" applyBorder="1" applyAlignment="1">
      <alignment horizontal="right"/>
    </xf>
    <xf numFmtId="7" fontId="12" fillId="50" borderId="43" xfId="174" applyNumberFormat="1" applyFont="1" applyFill="1" applyBorder="1" applyAlignment="1">
      <alignment horizontal="right"/>
    </xf>
    <xf numFmtId="3" fontId="18" fillId="8" borderId="1" xfId="1" applyNumberFormat="1" applyFont="1" applyFill="1" applyBorder="1" applyProtection="1"/>
    <xf numFmtId="7" fontId="12" fillId="50" borderId="46" xfId="174" applyNumberFormat="1" applyFont="1" applyFill="1" applyBorder="1" applyAlignment="1">
      <alignment horizontal="right"/>
    </xf>
    <xf numFmtId="0" fontId="18" fillId="0" borderId="0" xfId="174" applyFont="1" applyAlignment="1">
      <alignment horizontal="center" vertical="center" wrapText="1"/>
    </xf>
    <xf numFmtId="164" fontId="13" fillId="50" borderId="23" xfId="0" applyNumberFormat="1" applyFont="1" applyFill="1" applyBorder="1"/>
    <xf numFmtId="164" fontId="13" fillId="50" borderId="15" xfId="0" applyNumberFormat="1" applyFont="1" applyFill="1" applyBorder="1"/>
    <xf numFmtId="0" fontId="17" fillId="49" borderId="0" xfId="0" applyFont="1" applyFill="1" applyAlignment="1">
      <alignment wrapText="1"/>
    </xf>
    <xf numFmtId="3" fontId="18" fillId="4" borderId="1" xfId="4" applyNumberFormat="1" applyFont="1" applyFill="1" applyBorder="1" applyAlignment="1">
      <alignment horizontal="center"/>
    </xf>
    <xf numFmtId="0" fontId="59" fillId="47" borderId="0" xfId="174" applyFont="1" applyFill="1" applyAlignment="1">
      <alignment horizontal="left" wrapText="1"/>
    </xf>
    <xf numFmtId="0" fontId="11" fillId="0" borderId="0" xfId="176" applyFont="1" applyFill="1" applyAlignment="1">
      <alignment horizontal="center" vertical="center"/>
    </xf>
    <xf numFmtId="0" fontId="11" fillId="48" borderId="0" xfId="176" applyFont="1" applyFill="1" applyAlignment="1">
      <alignment horizontal="center" vertical="center"/>
    </xf>
    <xf numFmtId="0" fontId="59" fillId="44" borderId="0" xfId="174" applyFont="1" applyFill="1" applyAlignment="1">
      <alignment horizontal="left" wrapText="1"/>
    </xf>
    <xf numFmtId="0" fontId="12" fillId="49" borderId="7" xfId="174" applyFont="1" applyFill="1" applyBorder="1" applyAlignment="1">
      <alignment horizontal="right"/>
    </xf>
    <xf numFmtId="0" fontId="12" fillId="49" borderId="8" xfId="174" applyFont="1" applyFill="1" applyBorder="1" applyAlignment="1">
      <alignment horizontal="right"/>
    </xf>
    <xf numFmtId="0" fontId="12" fillId="49" borderId="9" xfId="174" applyFont="1" applyFill="1" applyBorder="1" applyAlignment="1">
      <alignment horizontal="right"/>
    </xf>
    <xf numFmtId="0" fontId="12" fillId="49" borderId="42" xfId="174" applyFont="1" applyFill="1" applyBorder="1" applyAlignment="1">
      <alignment horizontal="right"/>
    </xf>
    <xf numFmtId="0" fontId="0" fillId="49" borderId="1" xfId="0" applyFill="1" applyBorder="1" applyAlignment="1">
      <alignment horizontal="right"/>
    </xf>
    <xf numFmtId="0" fontId="12" fillId="49" borderId="39" xfId="174" applyFont="1" applyFill="1" applyBorder="1" applyAlignment="1">
      <alignment horizontal="right"/>
    </xf>
    <xf numFmtId="0" fontId="0" fillId="49" borderId="40" xfId="0" applyFill="1" applyBorder="1" applyAlignment="1">
      <alignment horizontal="right"/>
    </xf>
    <xf numFmtId="0" fontId="12" fillId="49" borderId="44" xfId="174" applyFont="1" applyFill="1" applyBorder="1" applyAlignment="1">
      <alignment horizontal="right"/>
    </xf>
    <xf numFmtId="0" fontId="0" fillId="49" borderId="45" xfId="0" applyFill="1" applyBorder="1" applyAlignment="1">
      <alignment horizontal="right"/>
    </xf>
    <xf numFmtId="0" fontId="12" fillId="49" borderId="1" xfId="174" applyFont="1" applyFill="1" applyBorder="1" applyAlignment="1">
      <alignment horizontal="right"/>
    </xf>
    <xf numFmtId="0" fontId="12" fillId="49" borderId="53" xfId="174" applyFont="1" applyFill="1" applyBorder="1" applyAlignment="1">
      <alignment horizontal="right"/>
    </xf>
    <xf numFmtId="0" fontId="12" fillId="49" borderId="54" xfId="174" applyFont="1" applyFill="1" applyBorder="1" applyAlignment="1">
      <alignment horizontal="right"/>
    </xf>
    <xf numFmtId="0" fontId="12" fillId="49" borderId="55" xfId="174" applyFont="1" applyFill="1" applyBorder="1" applyAlignment="1">
      <alignment horizontal="right"/>
    </xf>
    <xf numFmtId="0" fontId="12" fillId="49" borderId="47" xfId="174" applyFont="1" applyFill="1" applyBorder="1" applyAlignment="1">
      <alignment horizontal="right"/>
    </xf>
    <xf numFmtId="0" fontId="12" fillId="49" borderId="6" xfId="174" applyFont="1" applyFill="1" applyBorder="1" applyAlignment="1">
      <alignment horizontal="right"/>
    </xf>
    <xf numFmtId="0" fontId="12" fillId="49" borderId="20" xfId="174" applyFont="1" applyFill="1" applyBorder="1" applyAlignment="1">
      <alignment horizontal="right"/>
    </xf>
    <xf numFmtId="0" fontId="12" fillId="49" borderId="50" xfId="174" applyFont="1" applyFill="1" applyBorder="1" applyAlignment="1">
      <alignment horizontal="right"/>
    </xf>
    <xf numFmtId="0" fontId="12" fillId="49" borderId="51" xfId="174" applyFont="1" applyFill="1" applyBorder="1" applyAlignment="1">
      <alignment horizontal="right"/>
    </xf>
    <xf numFmtId="0" fontId="12" fillId="49" borderId="52" xfId="174" applyFont="1" applyFill="1" applyBorder="1" applyAlignment="1">
      <alignment horizontal="right"/>
    </xf>
    <xf numFmtId="0" fontId="12" fillId="49" borderId="10" xfId="174" applyFont="1" applyFill="1" applyBorder="1" applyAlignment="1">
      <alignment horizontal="right"/>
    </xf>
    <xf numFmtId="0" fontId="12" fillId="49" borderId="11" xfId="174" applyFont="1" applyFill="1" applyBorder="1" applyAlignment="1">
      <alignment horizontal="right"/>
    </xf>
    <xf numFmtId="0" fontId="12" fillId="49" borderId="12" xfId="174" applyFont="1" applyFill="1" applyBorder="1" applyAlignment="1">
      <alignment horizontal="right"/>
    </xf>
    <xf numFmtId="0" fontId="59" fillId="44" borderId="0" xfId="174" applyFont="1" applyFill="1" applyAlignment="1">
      <alignment horizontal="left" vertical="center" wrapText="1"/>
    </xf>
    <xf numFmtId="0" fontId="18" fillId="45" borderId="0" xfId="0" applyFont="1" applyFill="1" applyAlignment="1">
      <alignment horizontal="center"/>
    </xf>
    <xf numFmtId="0" fontId="0" fillId="53" borderId="1" xfId="0" applyFill="1" applyBorder="1" applyAlignment="1">
      <alignment horizontal="center"/>
    </xf>
    <xf numFmtId="0" fontId="0" fillId="52" borderId="1" xfId="0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64" fillId="51" borderId="36" xfId="0" applyFont="1" applyFill="1" applyBorder="1" applyAlignment="1">
      <alignment horizontal="center" vertical="center" wrapText="1"/>
    </xf>
    <xf numFmtId="0" fontId="64" fillId="51" borderId="37" xfId="0" applyFont="1" applyFill="1" applyBorder="1" applyAlignment="1">
      <alignment horizontal="center" vertical="center" wrapText="1"/>
    </xf>
    <xf numFmtId="0" fontId="12" fillId="41" borderId="18" xfId="0" applyFont="1" applyFill="1" applyBorder="1" applyAlignment="1">
      <alignment horizontal="left" vertical="center"/>
    </xf>
    <xf numFmtId="0" fontId="12" fillId="41" borderId="6" xfId="0" applyFont="1" applyFill="1" applyBorder="1" applyAlignment="1">
      <alignment horizontal="left" vertical="center"/>
    </xf>
    <xf numFmtId="0" fontId="12" fillId="41" borderId="20" xfId="0" applyFont="1" applyFill="1" applyBorder="1" applyAlignment="1">
      <alignment horizontal="left" vertical="center"/>
    </xf>
  </cellXfs>
  <cellStyles count="369">
    <cellStyle name="20% - Accent1" xfId="44" builtinId="30" customBuiltin="1"/>
    <cellStyle name="20% - Accent1 2" xfId="88" xr:uid="{00000000-0005-0000-0000-000001000000}"/>
    <cellStyle name="20% - Accent1 3" xfId="150" xr:uid="{00000000-0005-0000-0000-000002000000}"/>
    <cellStyle name="20% - Accent1 4" xfId="196" xr:uid="{00000000-0005-0000-0000-000003000000}"/>
    <cellStyle name="20% - Accent1 5" xfId="251" xr:uid="{00000000-0005-0000-0000-000004000000}"/>
    <cellStyle name="20% - Accent1 6" xfId="313" xr:uid="{00000000-0005-0000-0000-000005000000}"/>
    <cellStyle name="20% - Accent2" xfId="47" builtinId="34" customBuiltin="1"/>
    <cellStyle name="20% - Accent2 2" xfId="91" xr:uid="{00000000-0005-0000-0000-000007000000}"/>
    <cellStyle name="20% - Accent2 3" xfId="153" xr:uid="{00000000-0005-0000-0000-000008000000}"/>
    <cellStyle name="20% - Accent2 4" xfId="199" xr:uid="{00000000-0005-0000-0000-000009000000}"/>
    <cellStyle name="20% - Accent2 5" xfId="254" xr:uid="{00000000-0005-0000-0000-00000A000000}"/>
    <cellStyle name="20% - Accent2 6" xfId="316" xr:uid="{00000000-0005-0000-0000-00000B000000}"/>
    <cellStyle name="20% - Accent3" xfId="50" builtinId="38" customBuiltin="1"/>
    <cellStyle name="20% - Accent3 2" xfId="94" xr:uid="{00000000-0005-0000-0000-00000D000000}"/>
    <cellStyle name="20% - Accent3 3" xfId="156" xr:uid="{00000000-0005-0000-0000-00000E000000}"/>
    <cellStyle name="20% - Accent3 4" xfId="202" xr:uid="{00000000-0005-0000-0000-00000F000000}"/>
    <cellStyle name="20% - Accent3 5" xfId="257" xr:uid="{00000000-0005-0000-0000-000010000000}"/>
    <cellStyle name="20% - Accent3 6" xfId="319" xr:uid="{00000000-0005-0000-0000-000011000000}"/>
    <cellStyle name="20% - Accent4" xfId="54" builtinId="42" customBuiltin="1"/>
    <cellStyle name="20% - Accent4 2" xfId="98" xr:uid="{00000000-0005-0000-0000-000013000000}"/>
    <cellStyle name="20% - Accent4 3" xfId="160" xr:uid="{00000000-0005-0000-0000-000014000000}"/>
    <cellStyle name="20% - Accent4 4" xfId="206" xr:uid="{00000000-0005-0000-0000-000015000000}"/>
    <cellStyle name="20% - Accent4 5" xfId="261" xr:uid="{00000000-0005-0000-0000-000016000000}"/>
    <cellStyle name="20% - Accent4 6" xfId="323" xr:uid="{00000000-0005-0000-0000-000017000000}"/>
    <cellStyle name="20% - Accent5" xfId="58" builtinId="46" customBuiltin="1"/>
    <cellStyle name="20% - Accent5 2" xfId="102" xr:uid="{00000000-0005-0000-0000-000019000000}"/>
    <cellStyle name="20% - Accent5 3" xfId="164" xr:uid="{00000000-0005-0000-0000-00001A000000}"/>
    <cellStyle name="20% - Accent5 4" xfId="210" xr:uid="{00000000-0005-0000-0000-00001B000000}"/>
    <cellStyle name="20% - Accent5 5" xfId="265" xr:uid="{00000000-0005-0000-0000-00001C000000}"/>
    <cellStyle name="20% - Accent5 6" xfId="327" xr:uid="{00000000-0005-0000-0000-00001D000000}"/>
    <cellStyle name="20% - Accent6" xfId="62" builtinId="50" customBuiltin="1"/>
    <cellStyle name="20% - Accent6 2" xfId="106" xr:uid="{00000000-0005-0000-0000-00001F000000}"/>
    <cellStyle name="20% - Accent6 3" xfId="168" xr:uid="{00000000-0005-0000-0000-000020000000}"/>
    <cellStyle name="20% - Accent6 4" xfId="214" xr:uid="{00000000-0005-0000-0000-000021000000}"/>
    <cellStyle name="20% - Accent6 5" xfId="269" xr:uid="{00000000-0005-0000-0000-000022000000}"/>
    <cellStyle name="20% - Accent6 6" xfId="331" xr:uid="{00000000-0005-0000-0000-000023000000}"/>
    <cellStyle name="40% - Accent1" xfId="45" builtinId="31" customBuiltin="1"/>
    <cellStyle name="40% - Accent1 2" xfId="89" xr:uid="{00000000-0005-0000-0000-000025000000}"/>
    <cellStyle name="40% - Accent1 3" xfId="151" xr:uid="{00000000-0005-0000-0000-000026000000}"/>
    <cellStyle name="40% - Accent1 4" xfId="197" xr:uid="{00000000-0005-0000-0000-000027000000}"/>
    <cellStyle name="40% - Accent1 5" xfId="252" xr:uid="{00000000-0005-0000-0000-000028000000}"/>
    <cellStyle name="40% - Accent1 6" xfId="314" xr:uid="{00000000-0005-0000-0000-000029000000}"/>
    <cellStyle name="40% - Accent2" xfId="48" builtinId="35" customBuiltin="1"/>
    <cellStyle name="40% - Accent2 2" xfId="92" xr:uid="{00000000-0005-0000-0000-00002B000000}"/>
    <cellStyle name="40% - Accent2 3" xfId="154" xr:uid="{00000000-0005-0000-0000-00002C000000}"/>
    <cellStyle name="40% - Accent2 4" xfId="200" xr:uid="{00000000-0005-0000-0000-00002D000000}"/>
    <cellStyle name="40% - Accent2 5" xfId="255" xr:uid="{00000000-0005-0000-0000-00002E000000}"/>
    <cellStyle name="40% - Accent2 6" xfId="317" xr:uid="{00000000-0005-0000-0000-00002F000000}"/>
    <cellStyle name="40% - Accent3" xfId="51" builtinId="39" customBuiltin="1"/>
    <cellStyle name="40% - Accent3 2" xfId="95" xr:uid="{00000000-0005-0000-0000-000031000000}"/>
    <cellStyle name="40% - Accent3 3" xfId="157" xr:uid="{00000000-0005-0000-0000-000032000000}"/>
    <cellStyle name="40% - Accent3 4" xfId="203" xr:uid="{00000000-0005-0000-0000-000033000000}"/>
    <cellStyle name="40% - Accent3 5" xfId="258" xr:uid="{00000000-0005-0000-0000-000034000000}"/>
    <cellStyle name="40% - Accent3 6" xfId="320" xr:uid="{00000000-0005-0000-0000-000035000000}"/>
    <cellStyle name="40% - Accent4" xfId="55" builtinId="43" customBuiltin="1"/>
    <cellStyle name="40% - Accent4 2" xfId="99" xr:uid="{00000000-0005-0000-0000-000037000000}"/>
    <cellStyle name="40% - Accent4 3" xfId="161" xr:uid="{00000000-0005-0000-0000-000038000000}"/>
    <cellStyle name="40% - Accent4 4" xfId="207" xr:uid="{00000000-0005-0000-0000-000039000000}"/>
    <cellStyle name="40% - Accent4 5" xfId="262" xr:uid="{00000000-0005-0000-0000-00003A000000}"/>
    <cellStyle name="40% - Accent4 6" xfId="324" xr:uid="{00000000-0005-0000-0000-00003B000000}"/>
    <cellStyle name="40% - Accent5" xfId="59" builtinId="47" customBuiltin="1"/>
    <cellStyle name="40% - Accent5 2" xfId="103" xr:uid="{00000000-0005-0000-0000-00003D000000}"/>
    <cellStyle name="40% - Accent5 3" xfId="165" xr:uid="{00000000-0005-0000-0000-00003E000000}"/>
    <cellStyle name="40% - Accent5 4" xfId="211" xr:uid="{00000000-0005-0000-0000-00003F000000}"/>
    <cellStyle name="40% - Accent5 5" xfId="266" xr:uid="{00000000-0005-0000-0000-000040000000}"/>
    <cellStyle name="40% - Accent5 6" xfId="328" xr:uid="{00000000-0005-0000-0000-000041000000}"/>
    <cellStyle name="40% - Accent6" xfId="63" builtinId="51" customBuiltin="1"/>
    <cellStyle name="40% - Accent6 2" xfId="107" xr:uid="{00000000-0005-0000-0000-000043000000}"/>
    <cellStyle name="40% - Accent6 3" xfId="169" xr:uid="{00000000-0005-0000-0000-000044000000}"/>
    <cellStyle name="40% - Accent6 4" xfId="215" xr:uid="{00000000-0005-0000-0000-000045000000}"/>
    <cellStyle name="40% - Accent6 5" xfId="270" xr:uid="{00000000-0005-0000-0000-000046000000}"/>
    <cellStyle name="40% - Accent6 6" xfId="332" xr:uid="{00000000-0005-0000-0000-000047000000}"/>
    <cellStyle name="60% - Accent1" xfId="46" builtinId="32" customBuiltin="1"/>
    <cellStyle name="60% - Accent1 2" xfId="90" xr:uid="{00000000-0005-0000-0000-000049000000}"/>
    <cellStyle name="60% - Accent1 3" xfId="152" xr:uid="{00000000-0005-0000-0000-00004A000000}"/>
    <cellStyle name="60% - Accent1 4" xfId="198" xr:uid="{00000000-0005-0000-0000-00004B000000}"/>
    <cellStyle name="60% - Accent1 5" xfId="253" xr:uid="{00000000-0005-0000-0000-00004C000000}"/>
    <cellStyle name="60% - Accent1 6" xfId="315" xr:uid="{00000000-0005-0000-0000-00004D000000}"/>
    <cellStyle name="60% - Accent2" xfId="49" builtinId="36" customBuiltin="1"/>
    <cellStyle name="60% - Accent2 2" xfId="93" xr:uid="{00000000-0005-0000-0000-00004F000000}"/>
    <cellStyle name="60% - Accent2 3" xfId="155" xr:uid="{00000000-0005-0000-0000-000050000000}"/>
    <cellStyle name="60% - Accent2 4" xfId="201" xr:uid="{00000000-0005-0000-0000-000051000000}"/>
    <cellStyle name="60% - Accent2 5" xfId="256" xr:uid="{00000000-0005-0000-0000-000052000000}"/>
    <cellStyle name="60% - Accent2 6" xfId="318" xr:uid="{00000000-0005-0000-0000-000053000000}"/>
    <cellStyle name="60% - Accent3" xfId="52" builtinId="40" customBuiltin="1"/>
    <cellStyle name="60% - Accent3 2" xfId="96" xr:uid="{00000000-0005-0000-0000-000055000000}"/>
    <cellStyle name="60% - Accent3 3" xfId="158" xr:uid="{00000000-0005-0000-0000-000056000000}"/>
    <cellStyle name="60% - Accent3 4" xfId="204" xr:uid="{00000000-0005-0000-0000-000057000000}"/>
    <cellStyle name="60% - Accent3 5" xfId="259" xr:uid="{00000000-0005-0000-0000-000058000000}"/>
    <cellStyle name="60% - Accent3 6" xfId="321" xr:uid="{00000000-0005-0000-0000-000059000000}"/>
    <cellStyle name="60% - Accent4" xfId="56" builtinId="44" customBuiltin="1"/>
    <cellStyle name="60% - Accent4 2" xfId="100" xr:uid="{00000000-0005-0000-0000-00005B000000}"/>
    <cellStyle name="60% - Accent4 3" xfId="162" xr:uid="{00000000-0005-0000-0000-00005C000000}"/>
    <cellStyle name="60% - Accent4 4" xfId="208" xr:uid="{00000000-0005-0000-0000-00005D000000}"/>
    <cellStyle name="60% - Accent4 5" xfId="263" xr:uid="{00000000-0005-0000-0000-00005E000000}"/>
    <cellStyle name="60% - Accent4 6" xfId="325" xr:uid="{00000000-0005-0000-0000-00005F000000}"/>
    <cellStyle name="60% - Accent5" xfId="60" builtinId="48" customBuiltin="1"/>
    <cellStyle name="60% - Accent5 2" xfId="104" xr:uid="{00000000-0005-0000-0000-000061000000}"/>
    <cellStyle name="60% - Accent5 3" xfId="166" xr:uid="{00000000-0005-0000-0000-000062000000}"/>
    <cellStyle name="60% - Accent5 4" xfId="212" xr:uid="{00000000-0005-0000-0000-000063000000}"/>
    <cellStyle name="60% - Accent5 5" xfId="267" xr:uid="{00000000-0005-0000-0000-000064000000}"/>
    <cellStyle name="60% - Accent5 6" xfId="329" xr:uid="{00000000-0005-0000-0000-000065000000}"/>
    <cellStyle name="60% - Accent6" xfId="64" builtinId="52" customBuiltin="1"/>
    <cellStyle name="60% - Accent6 2" xfId="108" xr:uid="{00000000-0005-0000-0000-000067000000}"/>
    <cellStyle name="60% - Accent6 3" xfId="170" xr:uid="{00000000-0005-0000-0000-000068000000}"/>
    <cellStyle name="60% - Accent6 4" xfId="216" xr:uid="{00000000-0005-0000-0000-000069000000}"/>
    <cellStyle name="60% - Accent6 5" xfId="271" xr:uid="{00000000-0005-0000-0000-00006A000000}"/>
    <cellStyle name="60% - Accent6 6" xfId="333" xr:uid="{00000000-0005-0000-0000-00006B000000}"/>
    <cellStyle name="Accent1" xfId="43" builtinId="29" customBuiltin="1"/>
    <cellStyle name="Accent1 2" xfId="13" xr:uid="{00000000-0005-0000-0000-00006D000000}"/>
    <cellStyle name="Accent1 3" xfId="87" xr:uid="{00000000-0005-0000-0000-00006E000000}"/>
    <cellStyle name="Accent1 4" xfId="149" xr:uid="{00000000-0005-0000-0000-00006F000000}"/>
    <cellStyle name="Accent1 5" xfId="195" xr:uid="{00000000-0005-0000-0000-000070000000}"/>
    <cellStyle name="Accent1 6" xfId="250" xr:uid="{00000000-0005-0000-0000-000071000000}"/>
    <cellStyle name="Accent1 7" xfId="312" xr:uid="{00000000-0005-0000-0000-000072000000}"/>
    <cellStyle name="Accent2" xfId="2" builtinId="33" customBuiltin="1"/>
    <cellStyle name="Accent2 2" xfId="68" xr:uid="{00000000-0005-0000-0000-000074000000}"/>
    <cellStyle name="Accent2 2 5" xfId="121" xr:uid="{00000000-0005-0000-0000-000075000000}"/>
    <cellStyle name="Accent2 3" xfId="130" xr:uid="{00000000-0005-0000-0000-000076000000}"/>
    <cellStyle name="Accent2 4" xfId="176" xr:uid="{00000000-0005-0000-0000-000077000000}"/>
    <cellStyle name="Accent2 5" xfId="231" xr:uid="{00000000-0005-0000-0000-000078000000}"/>
    <cellStyle name="Accent2 6" xfId="292" xr:uid="{00000000-0005-0000-0000-000079000000}"/>
    <cellStyle name="Accent3" xfId="3" builtinId="37" customBuiltin="1"/>
    <cellStyle name="Accent3 2" xfId="69" xr:uid="{00000000-0005-0000-0000-00007B000000}"/>
    <cellStyle name="Accent3 3" xfId="131" xr:uid="{00000000-0005-0000-0000-00007C000000}"/>
    <cellStyle name="Accent3 4" xfId="177" xr:uid="{00000000-0005-0000-0000-00007D000000}"/>
    <cellStyle name="Accent3 5" xfId="122" xr:uid="{00000000-0005-0000-0000-00007E000000}"/>
    <cellStyle name="Accent3 6" xfId="232" xr:uid="{00000000-0005-0000-0000-00007F000000}"/>
    <cellStyle name="Accent3 7" xfId="293" xr:uid="{00000000-0005-0000-0000-000080000000}"/>
    <cellStyle name="Accent4" xfId="53" builtinId="41" customBuiltin="1"/>
    <cellStyle name="Accent4 2" xfId="97" xr:uid="{00000000-0005-0000-0000-000082000000}"/>
    <cellStyle name="Accent4 3" xfId="159" xr:uid="{00000000-0005-0000-0000-000083000000}"/>
    <cellStyle name="Accent4 4" xfId="205" xr:uid="{00000000-0005-0000-0000-000084000000}"/>
    <cellStyle name="Accent4 5" xfId="260" xr:uid="{00000000-0005-0000-0000-000085000000}"/>
    <cellStyle name="Accent4 6" xfId="322" xr:uid="{00000000-0005-0000-0000-000086000000}"/>
    <cellStyle name="Accent5" xfId="57" builtinId="45" customBuiltin="1"/>
    <cellStyle name="Accent5 2" xfId="101" xr:uid="{00000000-0005-0000-0000-000088000000}"/>
    <cellStyle name="Accent5 3" xfId="163" xr:uid="{00000000-0005-0000-0000-000089000000}"/>
    <cellStyle name="Accent5 4" xfId="209" xr:uid="{00000000-0005-0000-0000-00008A000000}"/>
    <cellStyle name="Accent5 5" xfId="264" xr:uid="{00000000-0005-0000-0000-00008B000000}"/>
    <cellStyle name="Accent5 6" xfId="326" xr:uid="{00000000-0005-0000-0000-00008C000000}"/>
    <cellStyle name="Accent6" xfId="61" builtinId="49" customBuiltin="1"/>
    <cellStyle name="Accent6 2" xfId="105" xr:uid="{00000000-0005-0000-0000-00008E000000}"/>
    <cellStyle name="Accent6 3" xfId="167" xr:uid="{00000000-0005-0000-0000-00008F000000}"/>
    <cellStyle name="Accent6 4" xfId="213" xr:uid="{00000000-0005-0000-0000-000090000000}"/>
    <cellStyle name="Accent6 5" xfId="268" xr:uid="{00000000-0005-0000-0000-000091000000}"/>
    <cellStyle name="Accent6 6" xfId="330" xr:uid="{00000000-0005-0000-0000-000092000000}"/>
    <cellStyle name="Bad" xfId="34" builtinId="27" customBuiltin="1"/>
    <cellStyle name="Bad 2" xfId="78" xr:uid="{00000000-0005-0000-0000-000094000000}"/>
    <cellStyle name="Bad 3" xfId="140" xr:uid="{00000000-0005-0000-0000-000095000000}"/>
    <cellStyle name="Bad 4" xfId="186" xr:uid="{00000000-0005-0000-0000-000096000000}"/>
    <cellStyle name="Bad 5" xfId="241" xr:uid="{00000000-0005-0000-0000-000097000000}"/>
    <cellStyle name="Bad 6" xfId="303" xr:uid="{00000000-0005-0000-0000-000098000000}"/>
    <cellStyle name="Calculation" xfId="37" builtinId="22" customBuiltin="1"/>
    <cellStyle name="Calculation 2" xfId="81" xr:uid="{00000000-0005-0000-0000-00009A000000}"/>
    <cellStyle name="Calculation 3" xfId="143" xr:uid="{00000000-0005-0000-0000-00009B000000}"/>
    <cellStyle name="Calculation 4" xfId="189" xr:uid="{00000000-0005-0000-0000-00009C000000}"/>
    <cellStyle name="Calculation 5" xfId="244" xr:uid="{00000000-0005-0000-0000-00009D000000}"/>
    <cellStyle name="Calculation 6" xfId="306" xr:uid="{00000000-0005-0000-0000-00009E000000}"/>
    <cellStyle name="Check Cell" xfId="39" builtinId="23" customBuiltin="1"/>
    <cellStyle name="Check Cell 2" xfId="83" xr:uid="{00000000-0005-0000-0000-0000A0000000}"/>
    <cellStyle name="Check Cell 3" xfId="145" xr:uid="{00000000-0005-0000-0000-0000A1000000}"/>
    <cellStyle name="Check Cell 4" xfId="191" xr:uid="{00000000-0005-0000-0000-0000A2000000}"/>
    <cellStyle name="Check Cell 5" xfId="246" xr:uid="{00000000-0005-0000-0000-0000A3000000}"/>
    <cellStyle name="Check Cell 6" xfId="308" xr:uid="{00000000-0005-0000-0000-0000A4000000}"/>
    <cellStyle name="Comma" xfId="1" builtinId="3"/>
    <cellStyle name="Comma 2" xfId="6" xr:uid="{00000000-0005-0000-0000-0000A6000000}"/>
    <cellStyle name="Comma 3" xfId="18" xr:uid="{00000000-0005-0000-0000-0000A7000000}"/>
    <cellStyle name="Comma 4" xfId="20" xr:uid="{00000000-0005-0000-0000-0000A8000000}"/>
    <cellStyle name="Comma 5" xfId="67" xr:uid="{00000000-0005-0000-0000-0000A9000000}"/>
    <cellStyle name="Comma 6" xfId="129" xr:uid="{00000000-0005-0000-0000-0000AA000000}"/>
    <cellStyle name="Comma 7" xfId="175" xr:uid="{00000000-0005-0000-0000-0000AB000000}"/>
    <cellStyle name="Comma 8" xfId="230" xr:uid="{00000000-0005-0000-0000-0000AC000000}"/>
    <cellStyle name="Comma 9" xfId="291" xr:uid="{00000000-0005-0000-0000-0000AD000000}"/>
    <cellStyle name="Currency 2" xfId="12" xr:uid="{00000000-0005-0000-0000-0000AE000000}"/>
    <cellStyle name="dataWrappedLeftAlignStyle" xfId="10" xr:uid="{00000000-0005-0000-0000-0000AF000000}"/>
    <cellStyle name="Explanatory Text" xfId="41" builtinId="53" customBuiltin="1"/>
    <cellStyle name="Explanatory Text 2" xfId="85" xr:uid="{00000000-0005-0000-0000-0000B1000000}"/>
    <cellStyle name="Explanatory Text 3" xfId="147" xr:uid="{00000000-0005-0000-0000-0000B2000000}"/>
    <cellStyle name="Explanatory Text 4" xfId="193" xr:uid="{00000000-0005-0000-0000-0000B3000000}"/>
    <cellStyle name="Explanatory Text 5" xfId="248" xr:uid="{00000000-0005-0000-0000-0000B4000000}"/>
    <cellStyle name="Explanatory Text 6" xfId="310" xr:uid="{00000000-0005-0000-0000-0000B5000000}"/>
    <cellStyle name="Good" xfId="33" builtinId="26" customBuiltin="1"/>
    <cellStyle name="Good 2" xfId="77" xr:uid="{00000000-0005-0000-0000-0000B7000000}"/>
    <cellStyle name="Good 3" xfId="139" xr:uid="{00000000-0005-0000-0000-0000B8000000}"/>
    <cellStyle name="Good 4" xfId="185" xr:uid="{00000000-0005-0000-0000-0000B9000000}"/>
    <cellStyle name="Good 5" xfId="240" xr:uid="{00000000-0005-0000-0000-0000BA000000}"/>
    <cellStyle name="Good 6" xfId="302" xr:uid="{00000000-0005-0000-0000-0000BB000000}"/>
    <cellStyle name="Heading 1" xfId="29" builtinId="16" customBuiltin="1"/>
    <cellStyle name="Heading 1 2" xfId="73" xr:uid="{00000000-0005-0000-0000-0000BD000000}"/>
    <cellStyle name="Heading 1 3" xfId="135" xr:uid="{00000000-0005-0000-0000-0000BE000000}"/>
    <cellStyle name="Heading 1 4" xfId="181" xr:uid="{00000000-0005-0000-0000-0000BF000000}"/>
    <cellStyle name="Heading 1 5" xfId="236" xr:uid="{00000000-0005-0000-0000-0000C0000000}"/>
    <cellStyle name="Heading 1 6" xfId="298" xr:uid="{00000000-0005-0000-0000-0000C1000000}"/>
    <cellStyle name="Heading 2" xfId="30" builtinId="17" customBuiltin="1"/>
    <cellStyle name="Heading 2 2" xfId="74" xr:uid="{00000000-0005-0000-0000-0000C3000000}"/>
    <cellStyle name="Heading 2 3" xfId="136" xr:uid="{00000000-0005-0000-0000-0000C4000000}"/>
    <cellStyle name="Heading 2 4" xfId="182" xr:uid="{00000000-0005-0000-0000-0000C5000000}"/>
    <cellStyle name="Heading 2 5" xfId="237" xr:uid="{00000000-0005-0000-0000-0000C6000000}"/>
    <cellStyle name="Heading 2 6" xfId="299" xr:uid="{00000000-0005-0000-0000-0000C7000000}"/>
    <cellStyle name="Heading 3" xfId="31" builtinId="18" customBuiltin="1"/>
    <cellStyle name="Heading 3 2" xfId="75" xr:uid="{00000000-0005-0000-0000-0000C9000000}"/>
    <cellStyle name="Heading 3 3" xfId="137" xr:uid="{00000000-0005-0000-0000-0000CA000000}"/>
    <cellStyle name="Heading 3 4" xfId="183" xr:uid="{00000000-0005-0000-0000-0000CB000000}"/>
    <cellStyle name="Heading 3 5" xfId="238" xr:uid="{00000000-0005-0000-0000-0000CC000000}"/>
    <cellStyle name="Heading 3 6" xfId="300" xr:uid="{00000000-0005-0000-0000-0000CD000000}"/>
    <cellStyle name="Heading 4" xfId="32" builtinId="19" customBuiltin="1"/>
    <cellStyle name="Heading 4 2" xfId="76" xr:uid="{00000000-0005-0000-0000-0000CF000000}"/>
    <cellStyle name="Heading 4 3" xfId="138" xr:uid="{00000000-0005-0000-0000-0000D0000000}"/>
    <cellStyle name="Heading 4 4" xfId="184" xr:uid="{00000000-0005-0000-0000-0000D1000000}"/>
    <cellStyle name="Heading 4 5" xfId="239" xr:uid="{00000000-0005-0000-0000-0000D2000000}"/>
    <cellStyle name="Heading 4 6" xfId="301" xr:uid="{00000000-0005-0000-0000-0000D3000000}"/>
    <cellStyle name="Hyperlink" xfId="27" builtinId="8"/>
    <cellStyle name="Hyperlink 2" xfId="16" xr:uid="{00000000-0005-0000-0000-0000D5000000}"/>
    <cellStyle name="Hyperlink 2 2" xfId="117" xr:uid="{00000000-0005-0000-0000-0000D6000000}"/>
    <cellStyle name="Hyperlink 3" xfId="24" xr:uid="{00000000-0005-0000-0000-0000D7000000}"/>
    <cellStyle name="Hyperlink 4" xfId="297" xr:uid="{00000000-0005-0000-0000-0000D8000000}"/>
    <cellStyle name="Input" xfId="5" builtinId="20" customBuiltin="1"/>
    <cellStyle name="Input 2" xfId="71" xr:uid="{00000000-0005-0000-0000-0000DA000000}"/>
    <cellStyle name="Input 3" xfId="133" xr:uid="{00000000-0005-0000-0000-0000DB000000}"/>
    <cellStyle name="Input 4" xfId="179" xr:uid="{00000000-0005-0000-0000-0000DC000000}"/>
    <cellStyle name="Input 5" xfId="234" xr:uid="{00000000-0005-0000-0000-0000DD000000}"/>
    <cellStyle name="Input 6" xfId="295" xr:uid="{00000000-0005-0000-0000-0000DE000000}"/>
    <cellStyle name="Linked Cell" xfId="38" builtinId="24" customBuiltin="1"/>
    <cellStyle name="Linked Cell 2" xfId="82" xr:uid="{00000000-0005-0000-0000-0000E0000000}"/>
    <cellStyle name="Linked Cell 3" xfId="144" xr:uid="{00000000-0005-0000-0000-0000E1000000}"/>
    <cellStyle name="Linked Cell 4" xfId="190" xr:uid="{00000000-0005-0000-0000-0000E2000000}"/>
    <cellStyle name="Linked Cell 5" xfId="245" xr:uid="{00000000-0005-0000-0000-0000E3000000}"/>
    <cellStyle name="Linked Cell 6" xfId="307" xr:uid="{00000000-0005-0000-0000-0000E4000000}"/>
    <cellStyle name="Neutral" xfId="35" builtinId="28" customBuiltin="1"/>
    <cellStyle name="Neutral 2" xfId="14" xr:uid="{00000000-0005-0000-0000-0000E6000000}"/>
    <cellStyle name="Neutral 3" xfId="79" xr:uid="{00000000-0005-0000-0000-0000E7000000}"/>
    <cellStyle name="Neutral 4" xfId="141" xr:uid="{00000000-0005-0000-0000-0000E8000000}"/>
    <cellStyle name="Neutral 5" xfId="187" xr:uid="{00000000-0005-0000-0000-0000E9000000}"/>
    <cellStyle name="Neutral 6" xfId="242" xr:uid="{00000000-0005-0000-0000-0000EA000000}"/>
    <cellStyle name="Neutral 7" xfId="304" xr:uid="{00000000-0005-0000-0000-0000EB000000}"/>
    <cellStyle name="Normal" xfId="0" builtinId="0"/>
    <cellStyle name="Normal 10" xfId="173" xr:uid="{00000000-0005-0000-0000-0000ED000000}"/>
    <cellStyle name="Normal 10 2" xfId="277" xr:uid="{00000000-0005-0000-0000-0000EE000000}"/>
    <cellStyle name="Normal 10 2 2" xfId="357" xr:uid="{00000000-0005-0000-0000-0000EF000000}"/>
    <cellStyle name="Normal 10 3" xfId="339" xr:uid="{00000000-0005-0000-0000-0000F0000000}"/>
    <cellStyle name="Normal 11" xfId="222" xr:uid="{00000000-0005-0000-0000-0000F1000000}"/>
    <cellStyle name="Normal 11 2" xfId="283" xr:uid="{00000000-0005-0000-0000-0000F2000000}"/>
    <cellStyle name="Normal 11 2 2" xfId="363" xr:uid="{00000000-0005-0000-0000-0000F3000000}"/>
    <cellStyle name="Normal 11 3" xfId="345" xr:uid="{00000000-0005-0000-0000-0000F4000000}"/>
    <cellStyle name="Normal 12" xfId="229" xr:uid="{00000000-0005-0000-0000-0000F5000000}"/>
    <cellStyle name="Normal 13" xfId="228" xr:uid="{00000000-0005-0000-0000-0000F6000000}"/>
    <cellStyle name="Normal 13 2" xfId="351" xr:uid="{00000000-0005-0000-0000-0000F7000000}"/>
    <cellStyle name="Normal 14" xfId="289" xr:uid="{00000000-0005-0000-0000-0000F8000000}"/>
    <cellStyle name="Normal 15" xfId="290" xr:uid="{00000000-0005-0000-0000-0000F9000000}"/>
    <cellStyle name="Normal 2" xfId="7" xr:uid="{00000000-0005-0000-0000-0000FA000000}"/>
    <cellStyle name="Normal 2 2" xfId="110" xr:uid="{00000000-0005-0000-0000-0000FB000000}"/>
    <cellStyle name="Normal 3" xfId="17" xr:uid="{00000000-0005-0000-0000-0000FC000000}"/>
    <cellStyle name="Normal 3 2" xfId="125" xr:uid="{00000000-0005-0000-0000-0000FD000000}"/>
    <cellStyle name="Normal 36" xfId="123" xr:uid="{00000000-0005-0000-0000-0000FE000000}"/>
    <cellStyle name="Normal 4" xfId="21" xr:uid="{00000000-0005-0000-0000-0000FF000000}"/>
    <cellStyle name="Normal 4 2" xfId="126" xr:uid="{00000000-0005-0000-0000-000000010000}"/>
    <cellStyle name="Normal 5" xfId="66" xr:uid="{00000000-0005-0000-0000-000001010000}"/>
    <cellStyle name="Normal 6" xfId="65" xr:uid="{00000000-0005-0000-0000-000002010000}"/>
    <cellStyle name="Normal 6 2" xfId="109" xr:uid="{00000000-0005-0000-0000-000003010000}"/>
    <cellStyle name="Normal 6 2 2" xfId="172" xr:uid="{00000000-0005-0000-0000-000004010000}"/>
    <cellStyle name="Normal 6 2 2 2" xfId="221" xr:uid="{00000000-0005-0000-0000-000005010000}"/>
    <cellStyle name="Normal 6 2 2 2 2" xfId="282" xr:uid="{00000000-0005-0000-0000-000006010000}"/>
    <cellStyle name="Normal 6 2 2 2 2 2" xfId="362" xr:uid="{00000000-0005-0000-0000-000007010000}"/>
    <cellStyle name="Normal 6 2 2 2 3" xfId="344" xr:uid="{00000000-0005-0000-0000-000008010000}"/>
    <cellStyle name="Normal 6 2 2 3" xfId="227" xr:uid="{00000000-0005-0000-0000-000009010000}"/>
    <cellStyle name="Normal 6 2 2 3 2" xfId="288" xr:uid="{00000000-0005-0000-0000-00000A010000}"/>
    <cellStyle name="Normal 6 2 2 3 2 2" xfId="368" xr:uid="{00000000-0005-0000-0000-00000B010000}"/>
    <cellStyle name="Normal 6 2 2 3 3" xfId="350" xr:uid="{00000000-0005-0000-0000-00000C010000}"/>
    <cellStyle name="Normal 6 2 2 4" xfId="276" xr:uid="{00000000-0005-0000-0000-00000D010000}"/>
    <cellStyle name="Normal 6 2 2 4 2" xfId="356" xr:uid="{00000000-0005-0000-0000-00000E010000}"/>
    <cellStyle name="Normal 6 2 2 5" xfId="338" xr:uid="{00000000-0005-0000-0000-00000F010000}"/>
    <cellStyle name="Normal 6 2 3" xfId="218" xr:uid="{00000000-0005-0000-0000-000010010000}"/>
    <cellStyle name="Normal 6 2 3 2" xfId="279" xr:uid="{00000000-0005-0000-0000-000011010000}"/>
    <cellStyle name="Normal 6 2 3 2 2" xfId="359" xr:uid="{00000000-0005-0000-0000-000012010000}"/>
    <cellStyle name="Normal 6 2 3 3" xfId="341" xr:uid="{00000000-0005-0000-0000-000013010000}"/>
    <cellStyle name="Normal 6 2 4" xfId="224" xr:uid="{00000000-0005-0000-0000-000014010000}"/>
    <cellStyle name="Normal 6 2 4 2" xfId="285" xr:uid="{00000000-0005-0000-0000-000015010000}"/>
    <cellStyle name="Normal 6 2 4 2 2" xfId="365" xr:uid="{00000000-0005-0000-0000-000016010000}"/>
    <cellStyle name="Normal 6 2 4 3" xfId="347" xr:uid="{00000000-0005-0000-0000-000017010000}"/>
    <cellStyle name="Normal 6 2 5" xfId="273" xr:uid="{00000000-0005-0000-0000-000018010000}"/>
    <cellStyle name="Normal 6 2 5 2" xfId="353" xr:uid="{00000000-0005-0000-0000-000019010000}"/>
    <cellStyle name="Normal 6 2 6" xfId="335" xr:uid="{00000000-0005-0000-0000-00001A010000}"/>
    <cellStyle name="Normal 6 3" xfId="171" xr:uid="{00000000-0005-0000-0000-00001B010000}"/>
    <cellStyle name="Normal 6 3 2" xfId="220" xr:uid="{00000000-0005-0000-0000-00001C010000}"/>
    <cellStyle name="Normal 6 3 2 2" xfId="281" xr:uid="{00000000-0005-0000-0000-00001D010000}"/>
    <cellStyle name="Normal 6 3 2 2 2" xfId="361" xr:uid="{00000000-0005-0000-0000-00001E010000}"/>
    <cellStyle name="Normal 6 3 2 3" xfId="343" xr:uid="{00000000-0005-0000-0000-00001F010000}"/>
    <cellStyle name="Normal 6 3 3" xfId="226" xr:uid="{00000000-0005-0000-0000-000020010000}"/>
    <cellStyle name="Normal 6 3 3 2" xfId="287" xr:uid="{00000000-0005-0000-0000-000021010000}"/>
    <cellStyle name="Normal 6 3 3 2 2" xfId="367" xr:uid="{00000000-0005-0000-0000-000022010000}"/>
    <cellStyle name="Normal 6 3 3 3" xfId="349" xr:uid="{00000000-0005-0000-0000-000023010000}"/>
    <cellStyle name="Normal 6 3 4" xfId="275" xr:uid="{00000000-0005-0000-0000-000024010000}"/>
    <cellStyle name="Normal 6 3 4 2" xfId="355" xr:uid="{00000000-0005-0000-0000-000025010000}"/>
    <cellStyle name="Normal 6 3 5" xfId="337" xr:uid="{00000000-0005-0000-0000-000026010000}"/>
    <cellStyle name="Normal 6 4" xfId="217" xr:uid="{00000000-0005-0000-0000-000027010000}"/>
    <cellStyle name="Normal 6 4 2" xfId="278" xr:uid="{00000000-0005-0000-0000-000028010000}"/>
    <cellStyle name="Normal 6 4 2 2" xfId="358" xr:uid="{00000000-0005-0000-0000-000029010000}"/>
    <cellStyle name="Normal 6 4 3" xfId="340" xr:uid="{00000000-0005-0000-0000-00002A010000}"/>
    <cellStyle name="Normal 6 5" xfId="223" xr:uid="{00000000-0005-0000-0000-00002B010000}"/>
    <cellStyle name="Normal 6 5 2" xfId="284" xr:uid="{00000000-0005-0000-0000-00002C010000}"/>
    <cellStyle name="Normal 6 5 2 2" xfId="364" xr:uid="{00000000-0005-0000-0000-00002D010000}"/>
    <cellStyle name="Normal 6 5 3" xfId="346" xr:uid="{00000000-0005-0000-0000-00002E010000}"/>
    <cellStyle name="Normal 6 6" xfId="272" xr:uid="{00000000-0005-0000-0000-00002F010000}"/>
    <cellStyle name="Normal 6 6 2" xfId="352" xr:uid="{00000000-0005-0000-0000-000030010000}"/>
    <cellStyle name="Normal 6 7" xfId="334" xr:uid="{00000000-0005-0000-0000-000031010000}"/>
    <cellStyle name="Normal 7" xfId="128" xr:uid="{00000000-0005-0000-0000-000032010000}"/>
    <cellStyle name="Normal 8" xfId="127" xr:uid="{00000000-0005-0000-0000-000033010000}"/>
    <cellStyle name="Normal 8 2" xfId="219" xr:uid="{00000000-0005-0000-0000-000034010000}"/>
    <cellStyle name="Normal 8 2 2" xfId="280" xr:uid="{00000000-0005-0000-0000-000035010000}"/>
    <cellStyle name="Normal 8 2 2 2" xfId="360" xr:uid="{00000000-0005-0000-0000-000036010000}"/>
    <cellStyle name="Normal 8 2 3" xfId="342" xr:uid="{00000000-0005-0000-0000-000037010000}"/>
    <cellStyle name="Normal 8 3" xfId="225" xr:uid="{00000000-0005-0000-0000-000038010000}"/>
    <cellStyle name="Normal 8 3 2" xfId="286" xr:uid="{00000000-0005-0000-0000-000039010000}"/>
    <cellStyle name="Normal 8 3 2 2" xfId="366" xr:uid="{00000000-0005-0000-0000-00003A010000}"/>
    <cellStyle name="Normal 8 3 3" xfId="348" xr:uid="{00000000-0005-0000-0000-00003B010000}"/>
    <cellStyle name="Normal 8 4" xfId="274" xr:uid="{00000000-0005-0000-0000-00003C010000}"/>
    <cellStyle name="Normal 8 4 2" xfId="354" xr:uid="{00000000-0005-0000-0000-00003D010000}"/>
    <cellStyle name="Normal 8 5" xfId="336" xr:uid="{00000000-0005-0000-0000-00003E010000}"/>
    <cellStyle name="Normal 9" xfId="174" xr:uid="{00000000-0005-0000-0000-00003F010000}"/>
    <cellStyle name="Note" xfId="9" builtinId="10" customBuiltin="1"/>
    <cellStyle name="Note 2" xfId="22" xr:uid="{00000000-0005-0000-0000-000041010000}"/>
    <cellStyle name="Note 3" xfId="72" xr:uid="{00000000-0005-0000-0000-000042010000}"/>
    <cellStyle name="Note 4" xfId="134" xr:uid="{00000000-0005-0000-0000-000043010000}"/>
    <cellStyle name="Note 5" xfId="180" xr:uid="{00000000-0005-0000-0000-000044010000}"/>
    <cellStyle name="Note 6" xfId="235" xr:uid="{00000000-0005-0000-0000-000045010000}"/>
    <cellStyle name="Note 7" xfId="296" xr:uid="{00000000-0005-0000-0000-000046010000}"/>
    <cellStyle name="Output" xfId="36" builtinId="21" customBuiltin="1"/>
    <cellStyle name="Output 2" xfId="80" xr:uid="{00000000-0005-0000-0000-000048010000}"/>
    <cellStyle name="Output 3" xfId="142" xr:uid="{00000000-0005-0000-0000-000049010000}"/>
    <cellStyle name="Output 4" xfId="188" xr:uid="{00000000-0005-0000-0000-00004A010000}"/>
    <cellStyle name="Output 5" xfId="243" xr:uid="{00000000-0005-0000-0000-00004B010000}"/>
    <cellStyle name="Output 6" xfId="305" xr:uid="{00000000-0005-0000-0000-00004C010000}"/>
    <cellStyle name="Percent" xfId="4" builtinId="5"/>
    <cellStyle name="Percent 2" xfId="8" xr:uid="{00000000-0005-0000-0000-00004E010000}"/>
    <cellStyle name="Percent 21" xfId="124" xr:uid="{00000000-0005-0000-0000-00004F010000}"/>
    <cellStyle name="Percent 3" xfId="19" xr:uid="{00000000-0005-0000-0000-000050010000}"/>
    <cellStyle name="Percent 4" xfId="23" xr:uid="{00000000-0005-0000-0000-000051010000}"/>
    <cellStyle name="Percent 5" xfId="70" xr:uid="{00000000-0005-0000-0000-000052010000}"/>
    <cellStyle name="Percent 6" xfId="132" xr:uid="{00000000-0005-0000-0000-000053010000}"/>
    <cellStyle name="Percent 7" xfId="178" xr:uid="{00000000-0005-0000-0000-000054010000}"/>
    <cellStyle name="Percent 8" xfId="233" xr:uid="{00000000-0005-0000-0000-000055010000}"/>
    <cellStyle name="Percent 9" xfId="294" xr:uid="{00000000-0005-0000-0000-000056010000}"/>
    <cellStyle name="RISKnormHeading" xfId="112" xr:uid="{00000000-0005-0000-0000-000057010000}"/>
    <cellStyle name="RISKnormLabel" xfId="113" xr:uid="{00000000-0005-0000-0000-000058010000}"/>
    <cellStyle name="RISKnormLabel 2" xfId="115" xr:uid="{00000000-0005-0000-0000-000059010000}"/>
    <cellStyle name="RISKnormTitle" xfId="111" xr:uid="{00000000-0005-0000-0000-00005A010000}"/>
    <cellStyle name="RISKtopEdge" xfId="114" xr:uid="{00000000-0005-0000-0000-00005B010000}"/>
    <cellStyle name="RISKtopEdge 2" xfId="116" xr:uid="{00000000-0005-0000-0000-00005C010000}"/>
    <cellStyle name="Source Superscript" xfId="119" xr:uid="{00000000-0005-0000-0000-00005D010000}"/>
    <cellStyle name="Source Text" xfId="25" xr:uid="{00000000-0005-0000-0000-00005E010000}"/>
    <cellStyle name="Source Text 2" xfId="118" xr:uid="{00000000-0005-0000-0000-00005F010000}"/>
    <cellStyle name="Title" xfId="28" builtinId="15" customBuiltin="1"/>
    <cellStyle name="Title-2" xfId="26" xr:uid="{00000000-0005-0000-0000-000061010000}"/>
    <cellStyle name="Title-2 2" xfId="120" xr:uid="{00000000-0005-0000-0000-000062010000}"/>
    <cellStyle name="titleStyle" xfId="11" xr:uid="{00000000-0005-0000-0000-000063010000}"/>
    <cellStyle name="TNRoman" xfId="15" xr:uid="{00000000-0005-0000-0000-000064010000}"/>
    <cellStyle name="Total" xfId="42" builtinId="25" customBuiltin="1"/>
    <cellStyle name="Total 2" xfId="86" xr:uid="{00000000-0005-0000-0000-000066010000}"/>
    <cellStyle name="Total 3" xfId="148" xr:uid="{00000000-0005-0000-0000-000067010000}"/>
    <cellStyle name="Total 4" xfId="194" xr:uid="{00000000-0005-0000-0000-000068010000}"/>
    <cellStyle name="Total 5" xfId="249" xr:uid="{00000000-0005-0000-0000-000069010000}"/>
    <cellStyle name="Total 6" xfId="311" xr:uid="{00000000-0005-0000-0000-00006A010000}"/>
    <cellStyle name="Warning Text" xfId="40" builtinId="11" customBuiltin="1"/>
    <cellStyle name="Warning Text 2" xfId="84" xr:uid="{00000000-0005-0000-0000-00006C010000}"/>
    <cellStyle name="Warning Text 3" xfId="146" xr:uid="{00000000-0005-0000-0000-00006D010000}"/>
    <cellStyle name="Warning Text 4" xfId="192" xr:uid="{00000000-0005-0000-0000-00006E010000}"/>
    <cellStyle name="Warning Text 5" xfId="247" xr:uid="{00000000-0005-0000-0000-00006F010000}"/>
    <cellStyle name="Warning Text 6" xfId="309" xr:uid="{00000000-0005-0000-0000-000070010000}"/>
  </cellStyles>
  <dxfs count="0"/>
  <tableStyles count="0" defaultTableStyle="TableStyleMedium9" defaultPivotStyle="PivotStyleLight16"/>
  <colors>
    <mruColors>
      <color rgb="FF99CC00"/>
      <color rgb="FFFFFF66"/>
      <color rgb="FF99CCFF"/>
      <color rgb="FF4F81BD"/>
      <color rgb="FF1F497D"/>
      <color rgb="FFC82323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935691</xdr:colOff>
      <xdr:row>148</xdr:row>
      <xdr:rowOff>138473</xdr:rowOff>
    </xdr:from>
    <xdr:to>
      <xdr:col>7</xdr:col>
      <xdr:colOff>1209486</xdr:colOff>
      <xdr:row>164</xdr:row>
      <xdr:rowOff>134420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762" y="78474794"/>
          <a:ext cx="6131217" cy="3047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244929</xdr:colOff>
      <xdr:row>85</xdr:row>
      <xdr:rowOff>13607</xdr:rowOff>
    </xdr:from>
    <xdr:to>
      <xdr:col>5</xdr:col>
      <xdr:colOff>402238</xdr:colOff>
      <xdr:row>97</xdr:row>
      <xdr:rowOff>171415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9" y="60470143"/>
          <a:ext cx="8628572" cy="2447619"/>
        </a:xfrm>
        <a:prstGeom prst="rect">
          <a:avLst/>
        </a:prstGeom>
      </xdr:spPr>
    </xdr:pic>
    <xdr:clientData/>
  </xdr:twoCellAnchor>
  <xdr:twoCellAnchor editAs="oneCell">
    <xdr:from>
      <xdr:col>5</xdr:col>
      <xdr:colOff>693964</xdr:colOff>
      <xdr:row>80</xdr:row>
      <xdr:rowOff>38</xdr:rowOff>
    </xdr:from>
    <xdr:to>
      <xdr:col>8</xdr:col>
      <xdr:colOff>398689</xdr:colOff>
      <xdr:row>98</xdr:row>
      <xdr:rowOff>40477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57607" y="59504074"/>
          <a:ext cx="4259036" cy="3469440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136072</xdr:colOff>
      <xdr:row>11</xdr:row>
      <xdr:rowOff>530679</xdr:rowOff>
    </xdr:from>
    <xdr:to>
      <xdr:col>34</xdr:col>
      <xdr:colOff>435181</xdr:colOff>
      <xdr:row>35</xdr:row>
      <xdr:rowOff>171942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791965" y="2816679"/>
          <a:ext cx="10704763" cy="4780953"/>
        </a:xfrm>
        <a:prstGeom prst="rect">
          <a:avLst/>
        </a:prstGeom>
      </xdr:spPr>
    </xdr:pic>
    <xdr:clientData/>
  </xdr:twoCellAnchor>
  <xdr:twoCellAnchor editAs="oneCell">
    <xdr:from>
      <xdr:col>5</xdr:col>
      <xdr:colOff>299356</xdr:colOff>
      <xdr:row>35</xdr:row>
      <xdr:rowOff>127801</xdr:rowOff>
    </xdr:from>
    <xdr:to>
      <xdr:col>8</xdr:col>
      <xdr:colOff>1541417</xdr:colOff>
      <xdr:row>37</xdr:row>
      <xdr:rowOff>98214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2999" y="6414301"/>
          <a:ext cx="5783037" cy="355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dels\COMMUTER\COMMUTER_v20\COMMUTER_v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dels\COMMUTER\COMMUTER_v20\COMMUTER_v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indrakanti\Desktop\TC_CWW%20v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dkall\LOCALS~1\Temp\notesC4A9C8\TC_CWW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8623%20-%20NJTPA_GHGRedctPln\001\Task%202\Analysis\NJTPA-GHGInv&amp;ForecastTool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ver-M"/>
      <sheetName val="Load-M"/>
      <sheetName val="MenuOps-M"/>
      <sheetName val="Utils-M"/>
      <sheetName val="WinMenu"/>
      <sheetName val="Splash"/>
      <sheetName val="Layout"/>
      <sheetName val="Status"/>
      <sheetName val="Defaults"/>
      <sheetName val="Inputs"/>
      <sheetName val="TravCalcs"/>
      <sheetName val="EmisCalcs"/>
      <sheetName val="Results"/>
      <sheetName val="ModeCht"/>
      <sheetName val="ScenarioEFs"/>
      <sheetName val="UserE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>
        <row r="95">
          <cell r="K95">
            <v>1.5</v>
          </cell>
        </row>
        <row r="103">
          <cell r="J103">
            <v>2</v>
          </cell>
          <cell r="K103">
            <v>0.28699999999999998</v>
          </cell>
        </row>
        <row r="104">
          <cell r="J104">
            <v>2.5</v>
          </cell>
          <cell r="K104">
            <v>0.192</v>
          </cell>
        </row>
        <row r="105">
          <cell r="J105">
            <v>3</v>
          </cell>
          <cell r="K105">
            <v>0.13900000000000001</v>
          </cell>
        </row>
        <row r="106">
          <cell r="J106">
            <v>3.5</v>
          </cell>
          <cell r="K106">
            <v>0.106</v>
          </cell>
        </row>
        <row r="107">
          <cell r="J107">
            <v>4</v>
          </cell>
          <cell r="K107">
            <v>8.5000000000000006E-2</v>
          </cell>
        </row>
        <row r="108">
          <cell r="J108">
            <v>4.5</v>
          </cell>
          <cell r="K108">
            <v>7.0999999999999994E-2</v>
          </cell>
        </row>
        <row r="109">
          <cell r="J109">
            <v>5</v>
          </cell>
          <cell r="K109">
            <v>0.06</v>
          </cell>
        </row>
        <row r="211">
          <cell r="AS211">
            <v>1</v>
          </cell>
          <cell r="AT211" t="str">
            <v>Large (over 2 million)</v>
          </cell>
        </row>
        <row r="212">
          <cell r="AS212">
            <v>2</v>
          </cell>
          <cell r="AT212" t="str">
            <v>Medium (750,000 to 2 million)</v>
          </cell>
        </row>
        <row r="213">
          <cell r="AS213">
            <v>3</v>
          </cell>
          <cell r="AT213" t="str">
            <v>Small (under 750,000)</v>
          </cell>
        </row>
        <row r="223">
          <cell r="AS223">
            <v>1</v>
          </cell>
          <cell r="AT223" t="str">
            <v>Area-Wide (e.g., MSA, county)</v>
          </cell>
        </row>
        <row r="224">
          <cell r="AS224">
            <v>2</v>
          </cell>
          <cell r="AT224" t="str">
            <v>Site or Employer-Based</v>
          </cell>
        </row>
      </sheetData>
      <sheetData sheetId="9">
        <row r="20">
          <cell r="I20" t="str">
            <v>Large-High.vme</v>
          </cell>
        </row>
        <row r="29">
          <cell r="I29">
            <v>1</v>
          </cell>
        </row>
        <row r="34">
          <cell r="I34">
            <v>1</v>
          </cell>
        </row>
        <row r="43">
          <cell r="I43">
            <v>1000</v>
          </cell>
        </row>
      </sheetData>
      <sheetData sheetId="10">
        <row r="49">
          <cell r="N49">
            <v>1288.8568292814202</v>
          </cell>
          <cell r="O49">
            <v>1284.8111771022213</v>
          </cell>
          <cell r="P49">
            <v>-4.0456521791988775</v>
          </cell>
          <cell r="S49">
            <v>16741.050806287432</v>
          </cell>
          <cell r="T49">
            <v>16691.854552837362</v>
          </cell>
          <cell r="U49">
            <v>-49.196253450070799</v>
          </cell>
        </row>
        <row r="55">
          <cell r="N55">
            <v>791.35809317879205</v>
          </cell>
          <cell r="O55">
            <v>788.87406274076386</v>
          </cell>
          <cell r="P55">
            <v>-2.4840304380281109</v>
          </cell>
          <cell r="S55">
            <v>10279.005195060483</v>
          </cell>
          <cell r="T55">
            <v>10248.798695442139</v>
          </cell>
          <cell r="U55">
            <v>-30.206499618343472</v>
          </cell>
        </row>
        <row r="56">
          <cell r="N56">
            <v>497.49873610262819</v>
          </cell>
          <cell r="O56">
            <v>495.93711436145747</v>
          </cell>
          <cell r="P56">
            <v>-1.5616217411707667</v>
          </cell>
          <cell r="S56">
            <v>6462.0456112269494</v>
          </cell>
          <cell r="T56">
            <v>6443.0558573952221</v>
          </cell>
          <cell r="U56">
            <v>-18.989753831727327</v>
          </cell>
        </row>
      </sheetData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ver-M"/>
      <sheetName val="Load-M"/>
      <sheetName val="MenuOps-M"/>
      <sheetName val="Utils-M"/>
      <sheetName val="WinMenu"/>
      <sheetName val="Splash"/>
      <sheetName val="Layout"/>
      <sheetName val="Status"/>
      <sheetName val="Defaults"/>
      <sheetName val="Inputs"/>
      <sheetName val="TravCalcs"/>
      <sheetName val="EmisCalcs"/>
      <sheetName val="Results"/>
      <sheetName val="ModeCht"/>
      <sheetName val="ScenarioEFs"/>
      <sheetName val="UserE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>
        <row r="95">
          <cell r="K95">
            <v>1.5</v>
          </cell>
        </row>
        <row r="103">
          <cell r="J103">
            <v>2</v>
          </cell>
          <cell r="K103">
            <v>0.28699999999999998</v>
          </cell>
        </row>
        <row r="104">
          <cell r="J104">
            <v>2.5</v>
          </cell>
          <cell r="K104">
            <v>0.192</v>
          </cell>
        </row>
        <row r="105">
          <cell r="J105">
            <v>3</v>
          </cell>
          <cell r="K105">
            <v>0.13900000000000001</v>
          </cell>
        </row>
        <row r="106">
          <cell r="J106">
            <v>3.5</v>
          </cell>
          <cell r="K106">
            <v>0.106</v>
          </cell>
        </row>
        <row r="107">
          <cell r="J107">
            <v>4</v>
          </cell>
          <cell r="K107">
            <v>8.5000000000000006E-2</v>
          </cell>
        </row>
        <row r="108">
          <cell r="J108">
            <v>4.5</v>
          </cell>
          <cell r="K108">
            <v>7.0999999999999994E-2</v>
          </cell>
        </row>
        <row r="109">
          <cell r="J109">
            <v>5</v>
          </cell>
          <cell r="K109">
            <v>0.06</v>
          </cell>
        </row>
        <row r="211">
          <cell r="AS211">
            <v>1</v>
          </cell>
          <cell r="AT211" t="str">
            <v>Large (over 2 million)</v>
          </cell>
        </row>
        <row r="212">
          <cell r="AS212">
            <v>2</v>
          </cell>
          <cell r="AT212" t="str">
            <v>Medium (750,000 to 2 million)</v>
          </cell>
        </row>
        <row r="213">
          <cell r="AS213">
            <v>3</v>
          </cell>
          <cell r="AT213" t="str">
            <v>Small (under 750,000)</v>
          </cell>
        </row>
        <row r="223">
          <cell r="AS223">
            <v>1</v>
          </cell>
          <cell r="AT223" t="str">
            <v>Area-Wide (e.g., MSA, county)</v>
          </cell>
        </row>
        <row r="224">
          <cell r="AS224">
            <v>2</v>
          </cell>
          <cell r="AT224" t="str">
            <v>Site or Employer-Based</v>
          </cell>
        </row>
      </sheetData>
      <sheetData sheetId="9">
        <row r="20">
          <cell r="I20" t="str">
            <v>Large-High.vme</v>
          </cell>
        </row>
        <row r="29">
          <cell r="I29">
            <v>1</v>
          </cell>
        </row>
        <row r="34">
          <cell r="I34">
            <v>1</v>
          </cell>
        </row>
        <row r="43">
          <cell r="I43">
            <v>1000</v>
          </cell>
        </row>
      </sheetData>
      <sheetData sheetId="10">
        <row r="49">
          <cell r="N49">
            <v>1288.8568292814202</v>
          </cell>
          <cell r="O49">
            <v>1284.8111771022213</v>
          </cell>
          <cell r="P49">
            <v>-4.0456521791988775</v>
          </cell>
          <cell r="S49">
            <v>16741.050806287432</v>
          </cell>
          <cell r="T49">
            <v>16691.854552837362</v>
          </cell>
          <cell r="U49">
            <v>-49.196253450070799</v>
          </cell>
        </row>
        <row r="55">
          <cell r="N55">
            <v>791.35809317879205</v>
          </cell>
          <cell r="O55">
            <v>788.87406274076386</v>
          </cell>
          <cell r="P55">
            <v>-2.4840304380281109</v>
          </cell>
          <cell r="S55">
            <v>10279.005195060483</v>
          </cell>
          <cell r="T55">
            <v>10248.798695442139</v>
          </cell>
          <cell r="U55">
            <v>-30.206499618343472</v>
          </cell>
        </row>
        <row r="56">
          <cell r="N56">
            <v>497.49873610262819</v>
          </cell>
          <cell r="O56">
            <v>495.93711436145747</v>
          </cell>
          <cell r="P56">
            <v>-1.5616217411707667</v>
          </cell>
          <cell r="S56">
            <v>6462.0456112269494</v>
          </cell>
          <cell r="T56">
            <v>6443.0558573952221</v>
          </cell>
          <cell r="U56">
            <v>-18.989753831727327</v>
          </cell>
        </row>
      </sheetData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 Employment stats"/>
      <sheetName val="research"/>
      <sheetName val="Moving Cooler unit impacts"/>
      <sheetName val="Telework"/>
      <sheetName val="Compressed Work Week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 Employment stats"/>
      <sheetName val="research"/>
      <sheetName val="Moving Cooler unit impacts"/>
      <sheetName val="Telework"/>
      <sheetName val="Compressed Work Week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serAssumptions"/>
      <sheetName val="Outputs"/>
      <sheetName val="Summary"/>
      <sheetName val="I-rateperdistance_unadj"/>
      <sheetName val="I-AgeDistribution"/>
      <sheetName val="I-VehicleWeights"/>
      <sheetName val="C-Motorcycles(1)"/>
      <sheetName val="C-PassCars(2)"/>
      <sheetName val="C-LightTrucks(31)"/>
      <sheetName val="C-LightTrucks(32)"/>
      <sheetName val="C-Buses(4)"/>
      <sheetName val="C-SingleUnitTrucks(5)"/>
      <sheetName val="C-CombTrucks(6)"/>
      <sheetName val="C-AdjFactors"/>
      <sheetName val="C-rateperdistance_adjusted"/>
    </sheetNames>
    <sheetDataSet>
      <sheetData sheetId="0"/>
      <sheetData sheetId="1">
        <row r="2">
          <cell r="C2" t="str">
            <v>Baseline</v>
          </cell>
        </row>
        <row r="3">
          <cell r="C3" t="str">
            <v>AltBaselineLDV</v>
          </cell>
        </row>
        <row r="4">
          <cell r="C4" t="str">
            <v>Custom 1</v>
          </cell>
        </row>
      </sheetData>
      <sheetData sheetId="2"/>
      <sheetData sheetId="3">
        <row r="10">
          <cell r="R10">
            <v>4.6129624845241045E-2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R10">
            <v>4.6129624845241045E-2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epa.gov/otaq/stateresources/policy/420r11025.pdf" TargetMode="External"/><Relationship Id="rId1" Type="http://schemas.openxmlformats.org/officeDocument/2006/relationships/hyperlink" Target="http://www.nhtsa.gov/staticfiles/nti/pdf/811841b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B107"/>
  <sheetViews>
    <sheetView showGridLines="0" topLeftCell="A65" zoomScale="85" zoomScaleNormal="85" workbookViewId="0">
      <selection activeCell="F11" sqref="F11"/>
    </sheetView>
  </sheetViews>
  <sheetFormatPr defaultColWidth="9.08984375" defaultRowHeight="14.5" x14ac:dyDescent="0.35"/>
  <cols>
    <col min="1" max="1" width="2.453125" style="78" customWidth="1"/>
    <col min="2" max="2" width="2" style="78" customWidth="1"/>
    <col min="3" max="3" width="69.54296875" style="166" customWidth="1"/>
    <col min="4" max="4" width="15.453125" style="78" hidden="1" customWidth="1"/>
    <col min="5" max="5" width="14.54296875" style="78" hidden="1" customWidth="1"/>
    <col min="6" max="6" width="24.453125" style="78" bestFit="1" customWidth="1"/>
    <col min="7" max="7" width="5.90625" style="78" customWidth="1"/>
    <col min="8" max="8" width="2.08984375" style="78" customWidth="1"/>
    <col min="9" max="9" width="35.54296875" style="170" bestFit="1" customWidth="1"/>
    <col min="10" max="11" width="10.08984375" style="170" customWidth="1"/>
    <col min="12" max="12" width="10" style="170" customWidth="1"/>
    <col min="13" max="15" width="9.08984375" style="170"/>
    <col min="16" max="16" width="9.54296875" style="170" bestFit="1" customWidth="1"/>
    <col min="17" max="24" width="9.08984375" style="170"/>
    <col min="25" max="25" width="9.08984375" style="94"/>
    <col min="26" max="27" width="9.08984375" style="78"/>
    <col min="28" max="28" width="20.453125" style="78" bestFit="1" customWidth="1"/>
    <col min="29" max="16384" width="9.08984375" style="78"/>
  </cols>
  <sheetData>
    <row r="1" spans="1:28" x14ac:dyDescent="0.35">
      <c r="A1" s="106"/>
      <c r="B1" s="106"/>
      <c r="C1" s="106"/>
      <c r="D1" s="106"/>
      <c r="E1" s="106"/>
      <c r="F1" s="106"/>
      <c r="G1" s="106"/>
      <c r="H1" s="106"/>
    </row>
    <row r="2" spans="1:28" ht="10.5" customHeight="1" x14ac:dyDescent="0.35">
      <c r="A2" s="106"/>
      <c r="B2" s="118"/>
      <c r="C2" s="440"/>
      <c r="D2" s="440"/>
      <c r="E2" s="440"/>
      <c r="F2" s="440"/>
      <c r="G2" s="118"/>
      <c r="H2" s="106"/>
    </row>
    <row r="3" spans="1:28" ht="26" x14ac:dyDescent="0.35">
      <c r="A3" s="106"/>
      <c r="B3"/>
      <c r="C3" s="441" t="s">
        <v>237</v>
      </c>
      <c r="D3" s="441"/>
      <c r="E3" s="441"/>
      <c r="F3" s="441"/>
      <c r="G3" s="102"/>
      <c r="H3" s="106"/>
    </row>
    <row r="4" spans="1:28" x14ac:dyDescent="0.35">
      <c r="A4" s="106"/>
      <c r="B4"/>
      <c r="C4" s="1"/>
      <c r="D4"/>
      <c r="E4"/>
      <c r="F4"/>
      <c r="G4"/>
      <c r="H4" s="106"/>
      <c r="AB4" s="156"/>
    </row>
    <row r="5" spans="1:28" ht="15.5" x14ac:dyDescent="0.35">
      <c r="A5" s="106"/>
      <c r="B5"/>
      <c r="C5" s="442" t="s">
        <v>196</v>
      </c>
      <c r="D5" s="442"/>
      <c r="E5" s="442"/>
      <c r="F5" s="442"/>
      <c r="G5" s="27"/>
      <c r="H5" s="106"/>
      <c r="AB5" s="156"/>
    </row>
    <row r="6" spans="1:28" ht="15.5" x14ac:dyDescent="0.35">
      <c r="A6" s="106"/>
      <c r="B6"/>
      <c r="C6" s="128" t="s">
        <v>199</v>
      </c>
      <c r="D6" s="119"/>
      <c r="E6" s="118"/>
      <c r="F6" s="128" t="s">
        <v>200</v>
      </c>
      <c r="G6" s="50"/>
      <c r="H6" s="106"/>
      <c r="AB6" s="156"/>
    </row>
    <row r="7" spans="1:28" x14ac:dyDescent="0.35">
      <c r="A7" s="106"/>
      <c r="B7"/>
      <c r="C7" s="95" t="s">
        <v>55</v>
      </c>
      <c r="D7" s="45">
        <v>2025</v>
      </c>
      <c r="E7" s="45">
        <v>2035</v>
      </c>
      <c r="F7" s="45">
        <v>2027</v>
      </c>
      <c r="G7" s="7"/>
      <c r="H7" s="106"/>
      <c r="AB7" s="156"/>
    </row>
    <row r="8" spans="1:28" x14ac:dyDescent="0.35">
      <c r="A8" s="106"/>
      <c r="B8"/>
      <c r="C8" s="81" t="s">
        <v>243</v>
      </c>
      <c r="D8" s="28"/>
      <c r="E8" s="28"/>
      <c r="F8" s="28">
        <v>80</v>
      </c>
      <c r="G8" s="161"/>
      <c r="H8" s="106"/>
      <c r="AB8" s="156"/>
    </row>
    <row r="9" spans="1:28" x14ac:dyDescent="0.35">
      <c r="A9" s="106"/>
      <c r="B9"/>
      <c r="C9" s="81" t="s">
        <v>364</v>
      </c>
      <c r="D9" s="28"/>
      <c r="E9" s="28"/>
      <c r="F9" s="28"/>
      <c r="G9" s="161"/>
      <c r="H9" s="106"/>
      <c r="AB9" s="156"/>
    </row>
    <row r="10" spans="1:28" x14ac:dyDescent="0.35">
      <c r="A10" s="106"/>
      <c r="B10"/>
      <c r="C10" s="81" t="s">
        <v>253</v>
      </c>
      <c r="D10" s="28"/>
      <c r="E10" s="28"/>
      <c r="F10" s="28">
        <v>3500</v>
      </c>
      <c r="G10" s="161"/>
      <c r="H10" s="106"/>
      <c r="AB10" s="156"/>
    </row>
    <row r="11" spans="1:28" x14ac:dyDescent="0.35">
      <c r="A11" s="106"/>
      <c r="B11"/>
      <c r="C11" s="85" t="s">
        <v>236</v>
      </c>
      <c r="D11" s="193"/>
      <c r="E11" s="193"/>
      <c r="F11" s="193">
        <v>0.02</v>
      </c>
      <c r="G11" s="161"/>
      <c r="H11" s="106"/>
      <c r="AB11" s="156"/>
    </row>
    <row r="12" spans="1:28" x14ac:dyDescent="0.35">
      <c r="A12" s="106"/>
      <c r="B12"/>
      <c r="C12" s="85" t="s">
        <v>239</v>
      </c>
      <c r="D12" s="30"/>
      <c r="E12" s="30"/>
      <c r="F12" s="30" t="s">
        <v>32</v>
      </c>
      <c r="G12" s="108"/>
      <c r="H12" s="106"/>
    </row>
    <row r="13" spans="1:28" x14ac:dyDescent="0.35">
      <c r="A13" s="106"/>
      <c r="B13"/>
      <c r="C13" s="85" t="s">
        <v>244</v>
      </c>
      <c r="D13" s="30"/>
      <c r="E13" s="30"/>
      <c r="F13" s="30">
        <v>5</v>
      </c>
      <c r="G13" s="143"/>
      <c r="H13" s="106"/>
    </row>
    <row r="14" spans="1:28" x14ac:dyDescent="0.35">
      <c r="A14" s="106"/>
      <c r="B14"/>
      <c r="C14" s="154"/>
      <c r="D14" s="143"/>
      <c r="E14" s="143"/>
      <c r="F14" s="143"/>
      <c r="G14" s="143"/>
      <c r="H14" s="106"/>
    </row>
    <row r="15" spans="1:28" ht="15.5" x14ac:dyDescent="0.35">
      <c r="A15" s="106"/>
      <c r="B15"/>
      <c r="C15" s="442" t="s">
        <v>242</v>
      </c>
      <c r="D15" s="442"/>
      <c r="E15" s="442"/>
      <c r="F15" s="442"/>
      <c r="G15"/>
      <c r="H15" s="106"/>
      <c r="AB15" s="156"/>
    </row>
    <row r="16" spans="1:28" x14ac:dyDescent="0.35">
      <c r="A16" s="106"/>
      <c r="B16"/>
      <c r="C16" s="128" t="s">
        <v>1</v>
      </c>
      <c r="D16"/>
      <c r="E16"/>
      <c r="F16" s="128" t="s">
        <v>204</v>
      </c>
      <c r="G16"/>
      <c r="H16" s="106"/>
      <c r="AB16" s="156"/>
    </row>
    <row r="17" spans="1:28" x14ac:dyDescent="0.35">
      <c r="A17" s="106"/>
      <c r="B17"/>
      <c r="C17" s="195" t="s">
        <v>48</v>
      </c>
      <c r="D17" s="192"/>
      <c r="E17" s="192"/>
      <c r="F17" s="192">
        <v>10</v>
      </c>
      <c r="G17" s="148"/>
      <c r="H17" s="106"/>
      <c r="AB17" s="156"/>
    </row>
    <row r="18" spans="1:28" x14ac:dyDescent="0.35">
      <c r="A18" s="106"/>
      <c r="B18"/>
      <c r="C18" s="89" t="s">
        <v>252</v>
      </c>
      <c r="D18" s="192"/>
      <c r="E18" s="192"/>
      <c r="F18" s="192">
        <v>250</v>
      </c>
      <c r="G18" s="148"/>
      <c r="H18" s="106"/>
      <c r="AB18" s="156"/>
    </row>
    <row r="19" spans="1:28" x14ac:dyDescent="0.35">
      <c r="A19" s="106"/>
      <c r="B19"/>
      <c r="C19" s="89" t="s">
        <v>336</v>
      </c>
      <c r="D19" s="192"/>
      <c r="E19" s="192"/>
      <c r="F19" s="34">
        <v>0.26750000000000002</v>
      </c>
      <c r="G19" s="148"/>
      <c r="H19" s="106"/>
      <c r="AB19" s="156"/>
    </row>
    <row r="20" spans="1:28" x14ac:dyDescent="0.35">
      <c r="A20" s="106"/>
      <c r="B20"/>
      <c r="C20" s="89" t="s">
        <v>337</v>
      </c>
      <c r="D20" s="192"/>
      <c r="E20" s="192"/>
      <c r="F20" s="34">
        <v>0.315</v>
      </c>
      <c r="G20" s="148"/>
      <c r="H20" s="106"/>
      <c r="AB20" s="156"/>
    </row>
    <row r="21" spans="1:28" x14ac:dyDescent="0.35">
      <c r="A21" s="106"/>
      <c r="B21"/>
      <c r="C21" s="137" t="s">
        <v>2</v>
      </c>
      <c r="D21" s="165"/>
      <c r="E21" s="165"/>
      <c r="F21" s="165"/>
      <c r="G21" s="148"/>
      <c r="H21" s="106"/>
      <c r="AB21" s="156"/>
    </row>
    <row r="22" spans="1:28" x14ac:dyDescent="0.35">
      <c r="A22" s="106"/>
      <c r="B22"/>
      <c r="C22" s="85" t="s">
        <v>417</v>
      </c>
      <c r="D22" s="196">
        <f>'2025ER'!AG4</f>
        <v>2869.5415786322055</v>
      </c>
      <c r="E22" s="355">
        <f>'2035ER'!AG4</f>
        <v>1584.4391318733667</v>
      </c>
      <c r="F22" s="197">
        <f>IF($F$7&gt;2035,E22,TREND(D22:E22,$D$7:$E$7,$F$7))</f>
        <v>2612.5210892804316</v>
      </c>
      <c r="G22" s="148"/>
      <c r="H22" s="106"/>
      <c r="AB22" s="156"/>
    </row>
    <row r="23" spans="1:28" x14ac:dyDescent="0.35">
      <c r="A23" s="106"/>
      <c r="B23"/>
      <c r="C23" s="85" t="s">
        <v>245</v>
      </c>
      <c r="D23" s="196">
        <f>'2025ER'!AG5</f>
        <v>0.35399294880543802</v>
      </c>
      <c r="E23" s="355">
        <f>'2035ER'!AG5</f>
        <v>5.6449742193203645E-2</v>
      </c>
      <c r="F23" s="197">
        <f t="shared" ref="F23:F35" si="0">IF($F$7&gt;2035,E23,TREND(D23:E23,$D$7:$E$7,$F$7))</f>
        <v>0.29448430748298904</v>
      </c>
      <c r="G23" s="148"/>
      <c r="H23" s="106"/>
      <c r="I23" s="354"/>
      <c r="AB23" s="156"/>
    </row>
    <row r="24" spans="1:28" x14ac:dyDescent="0.35">
      <c r="A24" s="106"/>
      <c r="B24"/>
      <c r="C24" s="85" t="s">
        <v>142</v>
      </c>
      <c r="D24" s="196">
        <f>'2025ER'!AG6</f>
        <v>3.1340207572494741E-2</v>
      </c>
      <c r="E24" s="355">
        <f>'2035ER'!AG6</f>
        <v>1.158981896190199E-2</v>
      </c>
      <c r="F24" s="197">
        <f t="shared" si="0"/>
        <v>2.7390129850375367E-2</v>
      </c>
      <c r="G24" s="148"/>
      <c r="H24" s="106"/>
      <c r="K24" s="216"/>
    </row>
    <row r="25" spans="1:28" x14ac:dyDescent="0.35">
      <c r="A25" s="106"/>
      <c r="B25"/>
      <c r="C25" s="85" t="s">
        <v>246</v>
      </c>
      <c r="D25" s="196">
        <f>'2025ER'!AG7</f>
        <v>0.58875959789844012</v>
      </c>
      <c r="E25" s="355">
        <f>'2035ER'!AG7</f>
        <v>9.5266050044316083E-2</v>
      </c>
      <c r="F25" s="197">
        <f t="shared" si="0"/>
        <v>0.49006088832761918</v>
      </c>
      <c r="G25" s="148"/>
      <c r="H25" s="106"/>
      <c r="K25" s="216"/>
    </row>
    <row r="26" spans="1:28" x14ac:dyDescent="0.35">
      <c r="A26" s="106"/>
      <c r="B26"/>
      <c r="C26" s="85" t="s">
        <v>247</v>
      </c>
      <c r="D26" s="196">
        <f>'2025ER'!AG8</f>
        <v>0.29254066546595658</v>
      </c>
      <c r="E26" s="355">
        <f>'2035ER'!AG8</f>
        <v>5.3133856357303659E-2</v>
      </c>
      <c r="F26" s="197">
        <f t="shared" si="0"/>
        <v>0.24465930364422661</v>
      </c>
      <c r="G26" s="148"/>
      <c r="H26" s="106"/>
      <c r="L26" s="217"/>
      <c r="M26" s="218"/>
    </row>
    <row r="27" spans="1:28" x14ac:dyDescent="0.35">
      <c r="A27" s="106"/>
      <c r="B27"/>
      <c r="C27" s="85" t="s">
        <v>389</v>
      </c>
      <c r="D27" s="290">
        <f>'2025ER'!AG9</f>
        <v>1.9476558553341038E-2</v>
      </c>
      <c r="E27" s="355">
        <f>'2035ER'!AG9</f>
        <v>1.07724752710409E-2</v>
      </c>
      <c r="F27" s="197">
        <f t="shared" si="0"/>
        <v>1.7735741896880874E-2</v>
      </c>
      <c r="G27" s="148"/>
      <c r="H27" s="106"/>
      <c r="L27" s="217"/>
      <c r="M27" s="218"/>
    </row>
    <row r="28" spans="1:28" x14ac:dyDescent="0.35">
      <c r="A28" s="106"/>
      <c r="B28"/>
      <c r="C28" s="85" t="s">
        <v>390</v>
      </c>
      <c r="D28" s="196">
        <f>'2025ER'!AG10</f>
        <v>3.1032946998388797</v>
      </c>
      <c r="E28" s="355">
        <f>'2035ER'!AG10</f>
        <v>0.93254622442210999</v>
      </c>
      <c r="F28" s="197">
        <f t="shared" si="0"/>
        <v>2.669145004755535</v>
      </c>
      <c r="G28" s="148"/>
      <c r="H28" s="106"/>
    </row>
    <row r="29" spans="1:28" x14ac:dyDescent="0.35">
      <c r="A29" s="106"/>
      <c r="B29"/>
      <c r="C29" s="85" t="s">
        <v>436</v>
      </c>
      <c r="D29" s="198">
        <f>'2025ER'!AV4</f>
        <v>7014.5688774709897</v>
      </c>
      <c r="E29" s="356">
        <f>'2035ER'!AV4</f>
        <v>5692.2295063884858</v>
      </c>
      <c r="F29" s="197">
        <f t="shared" si="0"/>
        <v>6750.101003254531</v>
      </c>
      <c r="G29" s="148"/>
      <c r="H29" s="106"/>
      <c r="K29" s="216"/>
      <c r="O29" s="217"/>
    </row>
    <row r="30" spans="1:28" x14ac:dyDescent="0.35">
      <c r="A30" s="106"/>
      <c r="B30"/>
      <c r="C30" s="85" t="s">
        <v>248</v>
      </c>
      <c r="D30" s="198">
        <f>'2025ER'!AV5</f>
        <v>35.049744880486408</v>
      </c>
      <c r="E30" s="356">
        <f>'2035ER'!AV5</f>
        <v>20.643076991488432</v>
      </c>
      <c r="F30" s="197">
        <f t="shared" si="0"/>
        <v>32.168411302687218</v>
      </c>
      <c r="G30" s="148"/>
      <c r="H30" s="106"/>
      <c r="I30" s="216"/>
      <c r="K30" s="216"/>
      <c r="L30" s="219"/>
      <c r="M30" s="216"/>
      <c r="P30" s="216"/>
      <c r="Q30" s="216"/>
      <c r="R30" s="219"/>
      <c r="S30" s="216"/>
    </row>
    <row r="31" spans="1:28" x14ac:dyDescent="0.35">
      <c r="A31" s="106"/>
      <c r="B31"/>
      <c r="C31" s="85" t="s">
        <v>249</v>
      </c>
      <c r="D31" s="198">
        <f>'2025ER'!AV6</f>
        <v>0.608692340690275</v>
      </c>
      <c r="E31" s="356">
        <f>'2035ER'!AV6</f>
        <v>9.853276765690025E-2</v>
      </c>
      <c r="F31" s="197">
        <f t="shared" si="0"/>
        <v>0.50666042608361295</v>
      </c>
      <c r="G31" s="148"/>
      <c r="H31" s="106"/>
      <c r="J31" s="216"/>
      <c r="O31" s="216"/>
      <c r="P31" s="216"/>
    </row>
    <row r="32" spans="1:28" x14ac:dyDescent="0.35">
      <c r="A32" s="106"/>
      <c r="B32"/>
      <c r="C32" s="85" t="s">
        <v>250</v>
      </c>
      <c r="D32" s="198">
        <f>'2025ER'!AV7</f>
        <v>33.582826576286529</v>
      </c>
      <c r="E32" s="356">
        <f>'2035ER'!AV7</f>
        <v>19.129552945360732</v>
      </c>
      <c r="F32" s="197">
        <f t="shared" si="0"/>
        <v>30.692171850101658</v>
      </c>
      <c r="G32" s="148"/>
      <c r="H32" s="106"/>
      <c r="J32" s="216"/>
      <c r="P32" s="216"/>
    </row>
    <row r="33" spans="1:20" x14ac:dyDescent="0.35">
      <c r="A33" s="106"/>
      <c r="B33"/>
      <c r="C33" s="85" t="s">
        <v>251</v>
      </c>
      <c r="D33" s="198">
        <f>'2025ER'!AV8</f>
        <v>2.2148975300066596</v>
      </c>
      <c r="E33" s="356">
        <f>'2035ER'!AV8</f>
        <v>0.76280947269706467</v>
      </c>
      <c r="F33" s="197">
        <f t="shared" si="0"/>
        <v>1.924479918544705</v>
      </c>
      <c r="G33" s="148"/>
      <c r="H33" s="106"/>
      <c r="J33" s="216"/>
      <c r="P33" s="216"/>
    </row>
    <row r="34" spans="1:20" x14ac:dyDescent="0.35">
      <c r="A34" s="106"/>
      <c r="B34"/>
      <c r="C34" s="85" t="s">
        <v>392</v>
      </c>
      <c r="D34" s="198">
        <f>'2025ER'!AV9</f>
        <v>2.6609900745527076E-2</v>
      </c>
      <c r="E34" s="356">
        <f>'2035ER'!AV9</f>
        <v>2.1510954325207381E-2</v>
      </c>
      <c r="F34" s="197">
        <f t="shared" si="0"/>
        <v>2.5590111461463172E-2</v>
      </c>
      <c r="G34" s="148"/>
      <c r="H34" s="106"/>
      <c r="J34" s="216"/>
      <c r="P34" s="216"/>
    </row>
    <row r="35" spans="1:20" x14ac:dyDescent="0.35">
      <c r="A35" s="106"/>
      <c r="B35"/>
      <c r="C35" s="85" t="s">
        <v>391</v>
      </c>
      <c r="D35" s="198">
        <f>'2025ER'!AV10</f>
        <v>17.765913054860473</v>
      </c>
      <c r="E35" s="356">
        <f>'2035ER'!AV10</f>
        <v>13.197087503922003</v>
      </c>
      <c r="F35" s="197">
        <f t="shared" si="0"/>
        <v>16.852147944672765</v>
      </c>
      <c r="G35" s="148"/>
      <c r="H35" s="106"/>
    </row>
    <row r="36" spans="1:20" x14ac:dyDescent="0.35">
      <c r="A36" s="106"/>
      <c r="B36"/>
      <c r="C36"/>
      <c r="D36" s="157"/>
      <c r="E36" s="157"/>
      <c r="F36" s="157"/>
      <c r="G36" s="157"/>
      <c r="H36" s="106"/>
      <c r="J36" s="220"/>
    </row>
    <row r="37" spans="1:20" ht="15.5" x14ac:dyDescent="0.35">
      <c r="A37" s="106"/>
      <c r="B37"/>
      <c r="C37" s="442" t="s">
        <v>192</v>
      </c>
      <c r="D37" s="442"/>
      <c r="E37" s="442"/>
      <c r="F37" s="442"/>
      <c r="G37" s="7"/>
      <c r="H37" s="106"/>
    </row>
    <row r="38" spans="1:20" ht="15.5" x14ac:dyDescent="0.35">
      <c r="A38" s="106"/>
      <c r="B38"/>
      <c r="C38" s="120" t="s">
        <v>199</v>
      </c>
      <c r="D38" s="119"/>
      <c r="E38" s="118"/>
      <c r="F38" s="120" t="s">
        <v>198</v>
      </c>
      <c r="G38"/>
      <c r="H38" s="106"/>
      <c r="J38" s="263"/>
    </row>
    <row r="39" spans="1:20" x14ac:dyDescent="0.35">
      <c r="A39" s="106"/>
      <c r="B39"/>
      <c r="C39" s="81" t="s">
        <v>254</v>
      </c>
      <c r="D39" s="194"/>
      <c r="E39" s="194"/>
      <c r="F39" s="194">
        <f>IF(F9="",F8-F8*(IF(F12="N",F19,F20)),F9)</f>
        <v>58.599999999999994</v>
      </c>
      <c r="G39" s="18"/>
      <c r="H39" s="106"/>
    </row>
    <row r="40" spans="1:20" x14ac:dyDescent="0.35">
      <c r="A40" s="106"/>
      <c r="B40"/>
      <c r="C40" s="85" t="s">
        <v>52</v>
      </c>
      <c r="D40" s="194"/>
      <c r="E40" s="194"/>
      <c r="F40" s="194">
        <f>(F10*F8)/3600</f>
        <v>77.777777777777771</v>
      </c>
      <c r="G40" s="18"/>
      <c r="H40" s="106"/>
    </row>
    <row r="41" spans="1:20" x14ac:dyDescent="0.35">
      <c r="A41" s="106"/>
      <c r="B41"/>
      <c r="C41" s="85" t="s">
        <v>53</v>
      </c>
      <c r="D41" s="194"/>
      <c r="E41" s="194"/>
      <c r="F41" s="194">
        <f>(F10*F39)/3600</f>
        <v>56.972222222222214</v>
      </c>
      <c r="G41" s="18"/>
      <c r="H41" s="106"/>
    </row>
    <row r="42" spans="1:20" x14ac:dyDescent="0.35">
      <c r="A42" s="106"/>
      <c r="B42"/>
      <c r="C42" s="137" t="s">
        <v>270</v>
      </c>
      <c r="D42" s="199"/>
      <c r="E42" s="199"/>
      <c r="F42" s="199"/>
      <c r="G42" s="18"/>
      <c r="H42" s="106"/>
    </row>
    <row r="43" spans="1:20" x14ac:dyDescent="0.35">
      <c r="A43" s="106"/>
      <c r="B43"/>
      <c r="C43" s="85" t="s">
        <v>438</v>
      </c>
      <c r="D43" s="194"/>
      <c r="E43" s="194"/>
      <c r="F43" s="265">
        <f t="shared" ref="F43:F48" si="1">F$17*((F$40*(1-F$11)*F22)+(F$40*F$11*F29))</f>
        <v>2096323.201435488</v>
      </c>
      <c r="G43" s="18"/>
      <c r="H43" s="106"/>
      <c r="J43" s="220"/>
    </row>
    <row r="44" spans="1:20" x14ac:dyDescent="0.35">
      <c r="A44" s="106"/>
      <c r="B44"/>
      <c r="C44" s="85" t="s">
        <v>182</v>
      </c>
      <c r="D44" s="194"/>
      <c r="E44" s="194"/>
      <c r="F44" s="265">
        <f t="shared" si="1"/>
        <v>724.85999241216837</v>
      </c>
      <c r="G44" s="18"/>
      <c r="H44" s="106"/>
      <c r="J44" s="220"/>
    </row>
    <row r="45" spans="1:20" x14ac:dyDescent="0.35">
      <c r="A45" s="106"/>
      <c r="B45"/>
      <c r="C45" s="85" t="s">
        <v>128</v>
      </c>
      <c r="D45" s="194"/>
      <c r="E45" s="194"/>
      <c r="F45" s="265">
        <f t="shared" si="1"/>
        <v>28.758750047253422</v>
      </c>
      <c r="G45" s="18"/>
      <c r="H45" s="106"/>
      <c r="K45" s="216"/>
      <c r="L45" s="216"/>
      <c r="M45" s="216"/>
      <c r="N45" s="221"/>
    </row>
    <row r="46" spans="1:20" x14ac:dyDescent="0.35">
      <c r="A46" s="106"/>
      <c r="B46"/>
      <c r="C46" s="85" t="s">
        <v>183</v>
      </c>
      <c r="D46" s="194"/>
      <c r="E46" s="194"/>
      <c r="F46" s="265">
        <f t="shared" si="1"/>
        <v>850.96908366018874</v>
      </c>
      <c r="G46" s="18"/>
      <c r="H46" s="106"/>
      <c r="K46" s="216"/>
      <c r="L46" s="216"/>
      <c r="M46" s="216"/>
      <c r="N46" s="221"/>
    </row>
    <row r="47" spans="1:20" x14ac:dyDescent="0.35">
      <c r="A47" s="106"/>
      <c r="B47"/>
      <c r="C47" s="85" t="s">
        <v>127</v>
      </c>
      <c r="D47" s="194"/>
      <c r="E47" s="194"/>
      <c r="F47" s="265">
        <f t="shared" si="1"/>
        <v>216.42111239951703</v>
      </c>
      <c r="G47" s="18"/>
      <c r="H47" s="106"/>
      <c r="J47" s="217"/>
      <c r="K47" s="222"/>
      <c r="L47" s="222"/>
      <c r="M47" s="223"/>
      <c r="N47" s="224"/>
      <c r="P47" s="225"/>
      <c r="Q47" s="225"/>
      <c r="R47" s="225"/>
      <c r="S47" s="226"/>
      <c r="T47" s="225"/>
    </row>
    <row r="48" spans="1:20" x14ac:dyDescent="0.35">
      <c r="A48" s="106"/>
      <c r="B48"/>
      <c r="C48" s="85" t="s">
        <v>393</v>
      </c>
      <c r="D48" s="194"/>
      <c r="E48" s="194"/>
      <c r="F48" s="265">
        <f t="shared" si="1"/>
        <v>13.916645001911958</v>
      </c>
      <c r="G48" s="18"/>
      <c r="H48" s="106"/>
      <c r="J48" s="217"/>
      <c r="K48" s="222"/>
      <c r="L48" s="222"/>
      <c r="M48" s="223"/>
      <c r="O48" s="227"/>
      <c r="P48" s="227"/>
      <c r="Q48" s="227"/>
      <c r="R48" s="227"/>
      <c r="S48" s="227"/>
      <c r="T48" s="227"/>
    </row>
    <row r="49" spans="1:20" x14ac:dyDescent="0.35">
      <c r="A49" s="106"/>
      <c r="B49"/>
      <c r="C49" s="85" t="s">
        <v>394</v>
      </c>
      <c r="D49" s="194"/>
      <c r="E49" s="194"/>
      <c r="F49" s="265">
        <f t="shared" ref="F49" si="2">F$17*((F$40*(1-F$11)*F28)+(F$40*F$11*F35))</f>
        <v>2296.6261605419058</v>
      </c>
      <c r="G49" s="18"/>
      <c r="H49" s="106"/>
      <c r="J49" s="217"/>
      <c r="K49" s="228"/>
      <c r="L49" s="228"/>
      <c r="O49" s="227"/>
      <c r="P49" s="227"/>
      <c r="Q49" s="227"/>
      <c r="R49" s="227"/>
      <c r="S49" s="227"/>
      <c r="T49" s="227"/>
    </row>
    <row r="50" spans="1:20" x14ac:dyDescent="0.35">
      <c r="A50" s="106"/>
      <c r="B50"/>
      <c r="C50" s="89" t="s">
        <v>437</v>
      </c>
      <c r="D50" s="194"/>
      <c r="E50" s="194"/>
      <c r="F50" s="265">
        <f t="shared" ref="F50:F56" si="3">F$17*((F$41*(1-F$11)*F22)+(F$41*F$11*F29))</f>
        <v>1535556.745051495</v>
      </c>
      <c r="G50" s="18"/>
      <c r="H50" s="106"/>
      <c r="J50" s="217"/>
      <c r="K50" s="228"/>
      <c r="L50" s="228"/>
      <c r="N50" s="217"/>
      <c r="O50" s="229"/>
      <c r="P50" s="229"/>
      <c r="Q50" s="229"/>
      <c r="R50" s="229"/>
      <c r="S50" s="229"/>
      <c r="T50" s="229"/>
    </row>
    <row r="51" spans="1:20" x14ac:dyDescent="0.35">
      <c r="A51" s="106"/>
      <c r="B51"/>
      <c r="C51" s="89" t="s">
        <v>184</v>
      </c>
      <c r="D51" s="194"/>
      <c r="E51" s="194"/>
      <c r="F51" s="265">
        <f t="shared" si="3"/>
        <v>530.95994444191319</v>
      </c>
      <c r="G51" s="18"/>
      <c r="H51" s="106"/>
      <c r="J51" s="217"/>
      <c r="K51" s="228"/>
      <c r="L51" s="222"/>
      <c r="N51" s="217"/>
      <c r="O51" s="229"/>
      <c r="P51" s="229"/>
      <c r="Q51" s="229"/>
      <c r="R51" s="229"/>
      <c r="S51" s="229"/>
      <c r="T51" s="229"/>
    </row>
    <row r="52" spans="1:20" x14ac:dyDescent="0.35">
      <c r="A52" s="106"/>
      <c r="B52"/>
      <c r="C52" s="89" t="s">
        <v>131</v>
      </c>
      <c r="D52" s="194"/>
      <c r="E52" s="194"/>
      <c r="F52" s="265">
        <f t="shared" si="3"/>
        <v>21.06578440961313</v>
      </c>
      <c r="G52" s="18"/>
      <c r="H52" s="106"/>
      <c r="N52" s="217"/>
      <c r="O52" s="229"/>
      <c r="P52" s="229"/>
      <c r="Q52" s="229"/>
      <c r="R52" s="229"/>
      <c r="S52" s="229"/>
      <c r="T52" s="229"/>
    </row>
    <row r="53" spans="1:20" x14ac:dyDescent="0.35">
      <c r="A53" s="106"/>
      <c r="B53"/>
      <c r="C53" s="89" t="s">
        <v>185</v>
      </c>
      <c r="D53" s="194"/>
      <c r="E53" s="194"/>
      <c r="F53" s="265">
        <f t="shared" si="3"/>
        <v>623.33485378108821</v>
      </c>
      <c r="G53" s="18"/>
      <c r="H53" s="106"/>
      <c r="N53" s="217"/>
      <c r="O53" s="229"/>
      <c r="P53" s="229"/>
      <c r="Q53" s="229"/>
      <c r="R53" s="229"/>
      <c r="S53" s="229"/>
      <c r="T53" s="229"/>
    </row>
    <row r="54" spans="1:20" x14ac:dyDescent="0.35">
      <c r="A54" s="106"/>
      <c r="B54"/>
      <c r="C54" s="89" t="s">
        <v>130</v>
      </c>
      <c r="D54" s="194"/>
      <c r="E54" s="194"/>
      <c r="F54" s="265">
        <f t="shared" si="3"/>
        <v>158.52846483264619</v>
      </c>
      <c r="G54" s="18"/>
      <c r="H54" s="106"/>
      <c r="N54" s="217"/>
      <c r="O54" s="229"/>
      <c r="P54" s="229"/>
      <c r="Q54" s="229"/>
      <c r="R54" s="229"/>
      <c r="S54" s="229"/>
      <c r="T54" s="229"/>
    </row>
    <row r="55" spans="1:20" x14ac:dyDescent="0.35">
      <c r="A55" s="106"/>
      <c r="B55"/>
      <c r="C55" s="89" t="s">
        <v>395</v>
      </c>
      <c r="D55" s="194"/>
      <c r="E55" s="194"/>
      <c r="F55" s="265">
        <f t="shared" si="3"/>
        <v>10.193942463900509</v>
      </c>
      <c r="G55" s="18"/>
      <c r="H55" s="106"/>
      <c r="N55" s="217"/>
      <c r="O55" s="229"/>
      <c r="P55" s="229"/>
      <c r="Q55" s="229"/>
      <c r="R55" s="229"/>
      <c r="S55" s="229"/>
      <c r="T55" s="229"/>
    </row>
    <row r="56" spans="1:20" x14ac:dyDescent="0.35">
      <c r="A56" s="106"/>
      <c r="B56"/>
      <c r="C56" s="89" t="s">
        <v>396</v>
      </c>
      <c r="D56" s="194"/>
      <c r="E56" s="194"/>
      <c r="F56" s="265">
        <f t="shared" si="3"/>
        <v>1682.2786625969461</v>
      </c>
      <c r="G56" s="18"/>
      <c r="H56" s="106"/>
      <c r="N56" s="217"/>
      <c r="O56" s="229"/>
      <c r="P56" s="229"/>
      <c r="Q56" s="229"/>
      <c r="R56" s="229"/>
      <c r="S56" s="229"/>
      <c r="T56" s="229"/>
    </row>
    <row r="57" spans="1:20" x14ac:dyDescent="0.35">
      <c r="A57" s="106"/>
      <c r="B57"/>
      <c r="C57" s="16"/>
      <c r="D57" s="159"/>
      <c r="E57" s="159"/>
      <c r="F57" s="159"/>
      <c r="G57" s="159"/>
      <c r="H57" s="106"/>
      <c r="N57" s="217"/>
      <c r="O57" s="229"/>
      <c r="P57" s="229"/>
      <c r="Q57" s="229"/>
      <c r="R57" s="229"/>
      <c r="S57" s="229"/>
      <c r="T57" s="229"/>
    </row>
    <row r="58" spans="1:20" ht="15.5" x14ac:dyDescent="0.35">
      <c r="A58" s="106"/>
      <c r="B58"/>
      <c r="C58" s="439" t="s">
        <v>193</v>
      </c>
      <c r="D58" s="439"/>
      <c r="E58" s="439"/>
      <c r="F58" s="439"/>
      <c r="G58" s="159"/>
      <c r="H58" s="106"/>
      <c r="N58" s="217"/>
      <c r="O58" s="229"/>
      <c r="P58" s="229"/>
      <c r="Q58" s="229"/>
      <c r="R58" s="229"/>
      <c r="S58" s="229"/>
      <c r="T58" s="229"/>
    </row>
    <row r="59" spans="1:20" ht="15" thickBot="1" x14ac:dyDescent="0.4">
      <c r="A59" s="106"/>
      <c r="B59"/>
      <c r="C59" s="131" t="s">
        <v>194</v>
      </c>
      <c r="D59" s="131"/>
      <c r="E59" s="131"/>
      <c r="F59" s="131"/>
      <c r="G59" s="159"/>
      <c r="H59" s="106"/>
      <c r="N59" s="217"/>
      <c r="O59" s="229"/>
      <c r="P59" s="229"/>
      <c r="Q59" s="229"/>
      <c r="R59" s="229"/>
      <c r="S59" s="229"/>
      <c r="T59" s="229"/>
    </row>
    <row r="60" spans="1:20" x14ac:dyDescent="0.35">
      <c r="A60" s="106"/>
      <c r="B60" s="84"/>
      <c r="C60" s="167" t="s">
        <v>54</v>
      </c>
      <c r="D60" s="145"/>
      <c r="E60" s="145"/>
      <c r="F60" s="145">
        <f>(F40*F18*F17)-(F41*F18*F17)</f>
        <v>52013.888888888876</v>
      </c>
      <c r="G60" s="59"/>
      <c r="H60" s="106"/>
      <c r="N60" s="217"/>
      <c r="O60" s="229"/>
      <c r="P60" s="229"/>
      <c r="Q60" s="229"/>
      <c r="R60" s="229"/>
      <c r="S60" s="229"/>
      <c r="T60" s="229"/>
    </row>
    <row r="61" spans="1:20" ht="15" thickBot="1" x14ac:dyDescent="0.4">
      <c r="A61" s="106"/>
      <c r="B61"/>
      <c r="C61" s="116" t="s">
        <v>47</v>
      </c>
      <c r="D61" s="215"/>
      <c r="E61" s="215"/>
      <c r="F61" s="215" t="s">
        <v>109</v>
      </c>
      <c r="G61" s="59"/>
      <c r="H61" s="106"/>
      <c r="N61" s="217"/>
      <c r="O61" s="229"/>
      <c r="P61" s="229"/>
      <c r="Q61" s="229"/>
      <c r="R61" s="229"/>
      <c r="S61" s="229"/>
      <c r="T61" s="229"/>
    </row>
    <row r="62" spans="1:20" x14ac:dyDescent="0.35">
      <c r="A62" s="106"/>
      <c r="B62"/>
      <c r="C62" s="164"/>
      <c r="D62" s="160"/>
      <c r="E62" s="160"/>
      <c r="F62" s="160"/>
      <c r="G62" s="150"/>
      <c r="H62" s="106"/>
      <c r="N62" s="217"/>
      <c r="O62" s="229"/>
      <c r="P62" s="229"/>
      <c r="Q62" s="229"/>
      <c r="R62" s="229"/>
      <c r="S62" s="229"/>
      <c r="T62" s="229"/>
    </row>
    <row r="63" spans="1:20" ht="15" thickBot="1" x14ac:dyDescent="0.4">
      <c r="A63" s="106"/>
      <c r="B63"/>
      <c r="C63" s="318" t="s">
        <v>202</v>
      </c>
      <c r="D63"/>
      <c r="E63"/>
      <c r="F63"/>
      <c r="G63"/>
      <c r="H63" s="106"/>
      <c r="N63" s="217"/>
      <c r="O63" s="229"/>
      <c r="P63" s="229"/>
      <c r="Q63" s="229"/>
      <c r="R63" s="229"/>
      <c r="S63" s="229"/>
      <c r="T63" s="229"/>
    </row>
    <row r="64" spans="1:20" x14ac:dyDescent="0.35">
      <c r="A64" s="106"/>
      <c r="B64"/>
      <c r="C64" s="338" t="s">
        <v>479</v>
      </c>
      <c r="D64" s="380"/>
      <c r="E64" s="380"/>
      <c r="F64" s="364">
        <f t="shared" ref="F64:F67" si="4">((F43-F50)*F$18)/1000</f>
        <v>140191.61409599823</v>
      </c>
      <c r="G64" s="155"/>
      <c r="H64" s="106"/>
      <c r="N64" s="217"/>
      <c r="O64" s="229"/>
      <c r="P64" s="229"/>
      <c r="Q64" s="229"/>
      <c r="R64" s="229"/>
      <c r="S64" s="229"/>
      <c r="T64" s="229"/>
    </row>
    <row r="65" spans="1:25" x14ac:dyDescent="0.35">
      <c r="A65" s="106"/>
      <c r="B65"/>
      <c r="C65" s="342" t="s">
        <v>488</v>
      </c>
      <c r="D65" s="381"/>
      <c r="E65" s="381"/>
      <c r="F65" s="365">
        <f t="shared" si="4"/>
        <v>48.475011992563793</v>
      </c>
      <c r="G65" s="155" t="s">
        <v>511</v>
      </c>
      <c r="H65" s="106"/>
      <c r="N65" s="217"/>
      <c r="O65" s="229"/>
      <c r="P65" s="229"/>
      <c r="Q65" s="229"/>
      <c r="R65" s="229"/>
      <c r="S65" s="229"/>
      <c r="T65" s="229"/>
    </row>
    <row r="66" spans="1:25" x14ac:dyDescent="0.35">
      <c r="A66" s="106"/>
      <c r="B66"/>
      <c r="C66" s="342" t="s">
        <v>489</v>
      </c>
      <c r="D66" s="381"/>
      <c r="E66" s="381"/>
      <c r="F66" s="365">
        <f t="shared" si="4"/>
        <v>1.9232414094100729</v>
      </c>
      <c r="G66" s="155" t="s">
        <v>511</v>
      </c>
      <c r="H66" s="106"/>
      <c r="N66" s="217"/>
      <c r="O66" s="229"/>
      <c r="P66" s="229"/>
      <c r="Q66" s="229"/>
      <c r="R66" s="229"/>
      <c r="S66" s="229"/>
      <c r="T66" s="229"/>
    </row>
    <row r="67" spans="1:25" x14ac:dyDescent="0.35">
      <c r="A67" s="106"/>
      <c r="B67"/>
      <c r="C67" s="342" t="s">
        <v>464</v>
      </c>
      <c r="D67" s="381"/>
      <c r="E67" s="381"/>
      <c r="F67" s="365">
        <f t="shared" si="4"/>
        <v>56.908557469775126</v>
      </c>
      <c r="G67" s="155"/>
      <c r="H67" s="106"/>
      <c r="N67" s="217"/>
      <c r="O67" s="229"/>
      <c r="P67" s="229"/>
      <c r="Q67" s="229"/>
      <c r="R67" s="229"/>
      <c r="S67" s="229"/>
      <c r="T67" s="229"/>
    </row>
    <row r="68" spans="1:25" x14ac:dyDescent="0.35">
      <c r="A68" s="106"/>
      <c r="B68"/>
      <c r="C68" s="342" t="s">
        <v>465</v>
      </c>
      <c r="D68" s="381"/>
      <c r="E68" s="381"/>
      <c r="F68" s="365">
        <f>((F47-F54)*F$18)/1000</f>
        <v>14.473161891717709</v>
      </c>
      <c r="G68" s="155"/>
      <c r="H68" s="106"/>
      <c r="N68" s="217"/>
      <c r="O68" s="229"/>
      <c r="P68" s="229"/>
      <c r="Q68" s="229"/>
      <c r="R68" s="229"/>
      <c r="S68" s="229"/>
      <c r="T68" s="229"/>
    </row>
    <row r="69" spans="1:25" x14ac:dyDescent="0.35">
      <c r="A69" s="106"/>
      <c r="B69"/>
      <c r="C69" s="342" t="s">
        <v>466</v>
      </c>
      <c r="D69" s="381"/>
      <c r="E69" s="381"/>
      <c r="F69" s="365">
        <f t="shared" ref="F69:F70" si="5">((F48-F55)*F$18)/1000</f>
        <v>0.93067563450286217</v>
      </c>
      <c r="G69" s="155"/>
      <c r="H69" s="106"/>
      <c r="N69" s="217"/>
      <c r="O69" s="229"/>
      <c r="P69" s="229"/>
      <c r="Q69" s="229"/>
      <c r="R69" s="229"/>
      <c r="S69" s="229"/>
      <c r="T69" s="229"/>
    </row>
    <row r="70" spans="1:25" ht="15" thickBot="1" x14ac:dyDescent="0.4">
      <c r="A70" s="106"/>
      <c r="B70"/>
      <c r="C70" s="343" t="s">
        <v>467</v>
      </c>
      <c r="D70" s="382"/>
      <c r="E70" s="382"/>
      <c r="F70" s="366">
        <f t="shared" si="5"/>
        <v>153.58687448623994</v>
      </c>
      <c r="G70" s="155"/>
      <c r="H70" s="106"/>
      <c r="N70" s="217"/>
      <c r="O70" s="229"/>
      <c r="P70" s="229"/>
      <c r="Q70" s="229"/>
      <c r="R70" s="229"/>
      <c r="S70" s="229"/>
      <c r="T70" s="229"/>
    </row>
    <row r="71" spans="1:25" x14ac:dyDescent="0.35">
      <c r="A71" s="106"/>
      <c r="B71"/>
      <c r="C71" s="344" t="s">
        <v>480</v>
      </c>
      <c r="D71" s="380"/>
      <c r="E71" s="380"/>
      <c r="F71" s="339">
        <f>(F64)/F$18</f>
        <v>560.76645638399293</v>
      </c>
      <c r="G71" s="66"/>
      <c r="H71" s="106"/>
      <c r="N71" s="217"/>
      <c r="O71" s="229"/>
      <c r="P71" s="229"/>
      <c r="Q71" s="229"/>
      <c r="R71" s="229"/>
      <c r="S71" s="229"/>
      <c r="T71" s="229"/>
    </row>
    <row r="72" spans="1:25" x14ac:dyDescent="0.35">
      <c r="A72" s="106"/>
      <c r="B72"/>
      <c r="C72" s="345" t="s">
        <v>469</v>
      </c>
      <c r="D72" s="381"/>
      <c r="E72" s="381"/>
      <c r="F72" s="340">
        <f t="shared" ref="F72:F77" si="6">(F65)/F$18</f>
        <v>0.19390004797025517</v>
      </c>
      <c r="G72" s="66"/>
      <c r="H72" s="106"/>
      <c r="N72" s="217"/>
      <c r="O72" s="229"/>
      <c r="P72" s="229"/>
      <c r="Q72" s="229"/>
      <c r="R72" s="229"/>
      <c r="S72" s="229"/>
      <c r="T72" s="229"/>
    </row>
    <row r="73" spans="1:25" x14ac:dyDescent="0.35">
      <c r="A73" s="106"/>
      <c r="B73"/>
      <c r="C73" s="345" t="s">
        <v>470</v>
      </c>
      <c r="D73" s="381"/>
      <c r="E73" s="381"/>
      <c r="F73" s="340">
        <f t="shared" si="6"/>
        <v>7.6929656376402917E-3</v>
      </c>
      <c r="G73"/>
      <c r="H73" s="106"/>
      <c r="N73" s="217"/>
      <c r="O73" s="229"/>
      <c r="P73" s="229"/>
      <c r="Q73" s="229"/>
      <c r="R73" s="229"/>
      <c r="S73" s="229"/>
      <c r="T73" s="229"/>
    </row>
    <row r="74" spans="1:25" x14ac:dyDescent="0.35">
      <c r="A74" s="106"/>
      <c r="B74"/>
      <c r="C74" s="345" t="s">
        <v>490</v>
      </c>
      <c r="D74" s="381"/>
      <c r="E74" s="381"/>
      <c r="F74" s="340">
        <f t="shared" si="6"/>
        <v>0.22763422987910051</v>
      </c>
      <c r="G74" s="155" t="s">
        <v>511</v>
      </c>
      <c r="H74" s="106"/>
      <c r="N74" s="217"/>
      <c r="O74" s="229"/>
      <c r="P74" s="229"/>
      <c r="Q74" s="229"/>
      <c r="R74" s="229"/>
      <c r="S74" s="229"/>
      <c r="T74" s="229"/>
    </row>
    <row r="75" spans="1:25" x14ac:dyDescent="0.35">
      <c r="A75" s="106"/>
      <c r="B75"/>
      <c r="C75" s="345" t="s">
        <v>491</v>
      </c>
      <c r="D75" s="381"/>
      <c r="E75" s="381"/>
      <c r="F75" s="340">
        <f t="shared" si="6"/>
        <v>5.7892647566870833E-2</v>
      </c>
      <c r="G75" s="155" t="s">
        <v>511</v>
      </c>
      <c r="H75" s="106"/>
      <c r="N75" s="217"/>
      <c r="O75" s="229"/>
      <c r="P75" s="229"/>
      <c r="Q75" s="229"/>
      <c r="R75" s="229"/>
      <c r="S75" s="229"/>
      <c r="T75" s="229"/>
    </row>
    <row r="76" spans="1:25" x14ac:dyDescent="0.35">
      <c r="A76" s="106"/>
      <c r="B76"/>
      <c r="C76" s="345" t="s">
        <v>471</v>
      </c>
      <c r="D76" s="381"/>
      <c r="E76" s="381"/>
      <c r="F76" s="340">
        <f t="shared" si="6"/>
        <v>3.7227025380114488E-3</v>
      </c>
      <c r="G76"/>
      <c r="H76" s="106"/>
      <c r="N76" s="217"/>
      <c r="O76" s="229"/>
      <c r="P76" s="229"/>
      <c r="Q76" s="229"/>
      <c r="R76" s="229"/>
      <c r="S76" s="229"/>
      <c r="T76" s="229"/>
    </row>
    <row r="77" spans="1:25" ht="15" thickBot="1" x14ac:dyDescent="0.4">
      <c r="A77" s="106"/>
      <c r="B77"/>
      <c r="C77" s="379" t="s">
        <v>492</v>
      </c>
      <c r="D77" s="382"/>
      <c r="E77" s="382"/>
      <c r="F77" s="383">
        <f t="shared" si="6"/>
        <v>0.61434749794495969</v>
      </c>
      <c r="G77" s="155" t="s">
        <v>511</v>
      </c>
      <c r="H77" s="106"/>
      <c r="N77" s="217"/>
      <c r="O77" s="229"/>
      <c r="P77" s="229"/>
      <c r="Q77" s="229"/>
      <c r="R77" s="229"/>
      <c r="S77" s="229"/>
      <c r="T77" s="229"/>
    </row>
    <row r="78" spans="1:25" ht="15" thickBot="1" x14ac:dyDescent="0.4">
      <c r="A78" s="106"/>
      <c r="B78"/>
      <c r="C78" s="346"/>
      <c r="D78" s="384"/>
      <c r="E78" s="384"/>
      <c r="F78" s="384"/>
      <c r="G78"/>
      <c r="H78" s="106"/>
      <c r="N78" s="217"/>
      <c r="O78" s="229"/>
      <c r="P78" s="229"/>
      <c r="Q78" s="229"/>
      <c r="R78" s="229"/>
      <c r="S78" s="229"/>
      <c r="T78" s="229"/>
    </row>
    <row r="79" spans="1:25" s="94" customFormat="1" x14ac:dyDescent="0.35">
      <c r="A79" s="106"/>
      <c r="B79"/>
      <c r="C79" s="338" t="s">
        <v>472</v>
      </c>
      <c r="D79" s="329"/>
      <c r="E79" s="329"/>
      <c r="F79" s="368">
        <v>5212260</v>
      </c>
      <c r="G79"/>
      <c r="H79" s="106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</row>
    <row r="80" spans="1:25" s="94" customFormat="1" x14ac:dyDescent="0.35">
      <c r="A80" s="106"/>
      <c r="B80"/>
      <c r="C80" s="342" t="s">
        <v>473</v>
      </c>
      <c r="D80" s="328"/>
      <c r="E80" s="328"/>
      <c r="F80" s="369">
        <v>20</v>
      </c>
      <c r="G80"/>
      <c r="H80" s="106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</row>
    <row r="81" spans="1:25" s="94" customFormat="1" x14ac:dyDescent="0.35">
      <c r="A81" s="106"/>
      <c r="B81"/>
      <c r="C81" s="342" t="s">
        <v>493</v>
      </c>
      <c r="D81" s="328"/>
      <c r="E81" s="328"/>
      <c r="F81" s="370">
        <f>(F$79/F$80)/F68</f>
        <v>18006.63890515425</v>
      </c>
      <c r="G81" s="155" t="s">
        <v>511</v>
      </c>
      <c r="H81" s="106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</row>
    <row r="82" spans="1:25" s="94" customFormat="1" x14ac:dyDescent="0.35">
      <c r="A82" s="106"/>
      <c r="B82"/>
      <c r="C82" s="342" t="s">
        <v>494</v>
      </c>
      <c r="D82" s="328"/>
      <c r="E82" s="328"/>
      <c r="F82" s="370">
        <f>(F$79/F$80)/F69</f>
        <v>280025.59682269034</v>
      </c>
      <c r="G82" s="155" t="s">
        <v>511</v>
      </c>
      <c r="H82" s="106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</row>
    <row r="83" spans="1:25" s="94" customFormat="1" x14ac:dyDescent="0.35">
      <c r="A83" s="106"/>
      <c r="B83"/>
      <c r="C83" s="342" t="s">
        <v>495</v>
      </c>
      <c r="D83" s="328"/>
      <c r="E83" s="328"/>
      <c r="F83" s="370">
        <f>(F$79/F$80/F$18)/F74</f>
        <v>4579.504587485194</v>
      </c>
      <c r="G83" s="155" t="s">
        <v>511</v>
      </c>
      <c r="H83" s="106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</row>
    <row r="84" spans="1:25" s="94" customFormat="1" x14ac:dyDescent="0.35">
      <c r="A84" s="106"/>
      <c r="B84"/>
      <c r="C84" s="342" t="s">
        <v>496</v>
      </c>
      <c r="D84" s="328"/>
      <c r="E84" s="328"/>
      <c r="F84" s="370">
        <f>(F$79/F$80/F$18)/F75</f>
        <v>18006.638905154254</v>
      </c>
      <c r="G84" s="155" t="s">
        <v>511</v>
      </c>
      <c r="H84" s="106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</row>
    <row r="85" spans="1:25" s="94" customFormat="1" ht="15" thickBot="1" x14ac:dyDescent="0.4">
      <c r="A85" s="106"/>
      <c r="B85"/>
      <c r="C85" s="343" t="s">
        <v>497</v>
      </c>
      <c r="D85" s="330"/>
      <c r="E85" s="330"/>
      <c r="F85" s="370">
        <f>(F$79/F$80/F$18)/F77</f>
        <v>1696.8442184383973</v>
      </c>
      <c r="G85" s="155" t="s">
        <v>511</v>
      </c>
      <c r="H85" s="106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</row>
    <row r="86" spans="1:25" x14ac:dyDescent="0.35">
      <c r="A86" s="106"/>
      <c r="B86"/>
      <c r="C86" s="164"/>
      <c r="D86" s="160"/>
      <c r="E86" s="160"/>
      <c r="F86" s="160"/>
      <c r="G86" s="150"/>
      <c r="H86" s="106"/>
      <c r="Y86" s="170"/>
    </row>
    <row r="87" spans="1:25" s="94" customFormat="1" x14ac:dyDescent="0.35">
      <c r="A87" s="106"/>
      <c r="B87" s="106"/>
      <c r="C87" s="106"/>
      <c r="D87" s="106"/>
      <c r="E87" s="106"/>
      <c r="F87" s="106"/>
      <c r="G87" s="106"/>
      <c r="H87" s="106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</row>
    <row r="88" spans="1:25" x14ac:dyDescent="0.35">
      <c r="N88" s="217"/>
      <c r="O88" s="229"/>
      <c r="P88" s="229"/>
      <c r="Q88" s="229"/>
      <c r="R88" s="229"/>
      <c r="S88" s="229"/>
      <c r="T88" s="229"/>
    </row>
    <row r="89" spans="1:25" x14ac:dyDescent="0.35">
      <c r="N89" s="217"/>
      <c r="O89" s="229"/>
      <c r="P89" s="229"/>
      <c r="Q89" s="229"/>
      <c r="R89" s="229"/>
      <c r="S89" s="229"/>
      <c r="T89" s="229"/>
    </row>
    <row r="100" spans="16:19" x14ac:dyDescent="0.35">
      <c r="P100" s="225"/>
      <c r="Q100" s="230"/>
      <c r="R100" s="226"/>
      <c r="S100" s="226"/>
    </row>
    <row r="101" spans="16:19" ht="9" customHeight="1" x14ac:dyDescent="0.35">
      <c r="Q101" s="227"/>
      <c r="R101" s="227"/>
      <c r="S101" s="227"/>
    </row>
    <row r="102" spans="16:19" ht="12" customHeight="1" x14ac:dyDescent="0.35">
      <c r="Q102" s="227"/>
      <c r="R102" s="227"/>
      <c r="S102" s="227"/>
    </row>
    <row r="103" spans="16:19" x14ac:dyDescent="0.35">
      <c r="Q103" s="228"/>
      <c r="R103" s="229"/>
      <c r="S103" s="228"/>
    </row>
    <row r="104" spans="16:19" x14ac:dyDescent="0.35">
      <c r="Q104" s="228"/>
      <c r="R104" s="229"/>
      <c r="S104" s="228"/>
    </row>
    <row r="105" spans="16:19" x14ac:dyDescent="0.35">
      <c r="Q105" s="228"/>
      <c r="R105" s="229"/>
      <c r="S105" s="228"/>
    </row>
    <row r="106" spans="16:19" x14ac:dyDescent="0.35">
      <c r="Q106" s="228"/>
      <c r="R106" s="229"/>
      <c r="S106" s="228"/>
    </row>
    <row r="107" spans="16:19" x14ac:dyDescent="0.35">
      <c r="Q107" s="228"/>
      <c r="R107" s="229"/>
      <c r="S107" s="228"/>
    </row>
  </sheetData>
  <mergeCells count="6">
    <mergeCell ref="C58:F58"/>
    <mergeCell ref="C2:F2"/>
    <mergeCell ref="C3:F3"/>
    <mergeCell ref="C5:F5"/>
    <mergeCell ref="C15:F15"/>
    <mergeCell ref="C37:F37"/>
  </mergeCells>
  <dataValidations count="1">
    <dataValidation type="list" allowBlank="1" showInputMessage="1" showErrorMessage="1" sqref="G6" xr:uid="{00000000-0002-0000-0000-000000000000}">
      <formula1>$Y$3:$Y$12</formula1>
    </dataValidation>
  </dataValidations>
  <printOptions headings="1" gridLines="1"/>
  <pageMargins left="0.7" right="0.7" top="0.75" bottom="0.75" header="0.3" footer="0.3"/>
  <pageSetup paperSize="17" scale="8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OtherVariables!$A$169:$A$170</xm:f>
          </x14:formula1>
          <xm:sqref>F12</xm:sqref>
        </x14:dataValidation>
        <x14:dataValidation type="list" allowBlank="1" showInputMessage="1" showErrorMessage="1" xr:uid="{00000000-0002-0000-0000-000002000000}">
          <x14:formula1>
            <xm:f>OtherVariables!$P$24:$P$39</xm:f>
          </x14:formula1>
          <xm:sqref>F7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70"/>
  <sheetViews>
    <sheetView topLeftCell="A134" zoomScale="70" zoomScaleNormal="70" workbookViewId="0">
      <selection activeCell="P135" sqref="P135"/>
    </sheetView>
  </sheetViews>
  <sheetFormatPr defaultRowHeight="14.5" x14ac:dyDescent="0.35"/>
  <cols>
    <col min="1" max="1" width="31.453125" bestFit="1" customWidth="1"/>
    <col min="2" max="2" width="37" customWidth="1"/>
    <col min="3" max="5" width="19.54296875" customWidth="1"/>
    <col min="6" max="6" width="29" customWidth="1"/>
    <col min="7" max="8" width="19.54296875" customWidth="1"/>
    <col min="9" max="9" width="29.54296875" bestFit="1" customWidth="1"/>
    <col min="10" max="11" width="19.54296875" customWidth="1"/>
    <col min="15" max="15" width="16.453125" customWidth="1"/>
    <col min="16" max="16" width="15.54296875" customWidth="1"/>
  </cols>
  <sheetData>
    <row r="1" spans="1:16" ht="28.5" x14ac:dyDescent="0.35">
      <c r="A1" s="267" t="s">
        <v>372</v>
      </c>
    </row>
    <row r="2" spans="1:16" ht="15.5" x14ac:dyDescent="0.35">
      <c r="A2" s="244" t="s">
        <v>371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4" spans="1:16" x14ac:dyDescent="0.35">
      <c r="A4" t="s">
        <v>65</v>
      </c>
    </row>
    <row r="5" spans="1:16" x14ac:dyDescent="0.35">
      <c r="A5" t="s">
        <v>66</v>
      </c>
    </row>
    <row r="6" spans="1:16" x14ac:dyDescent="0.35">
      <c r="A6" t="s">
        <v>67</v>
      </c>
    </row>
    <row r="7" spans="1:16" x14ac:dyDescent="0.35">
      <c r="A7" t="s">
        <v>68</v>
      </c>
    </row>
    <row r="8" spans="1:16" x14ac:dyDescent="0.35">
      <c r="A8" t="s">
        <v>69</v>
      </c>
    </row>
    <row r="9" spans="1:16" x14ac:dyDescent="0.35">
      <c r="A9" t="s">
        <v>70</v>
      </c>
    </row>
    <row r="10" spans="1:16" x14ac:dyDescent="0.35">
      <c r="A10" t="s">
        <v>71</v>
      </c>
    </row>
    <row r="12" spans="1:16" ht="58" x14ac:dyDescent="0.35">
      <c r="C12" s="27" t="s">
        <v>345</v>
      </c>
      <c r="D12" s="27" t="s">
        <v>346</v>
      </c>
      <c r="E12" s="27" t="s">
        <v>347</v>
      </c>
      <c r="F12" s="27" t="s">
        <v>348</v>
      </c>
      <c r="G12" s="27" t="s">
        <v>30</v>
      </c>
      <c r="H12" s="27"/>
      <c r="J12" s="27" t="s">
        <v>345</v>
      </c>
      <c r="K12" s="27" t="s">
        <v>346</v>
      </c>
      <c r="L12" s="27" t="s">
        <v>347</v>
      </c>
      <c r="M12" s="27" t="s">
        <v>348</v>
      </c>
      <c r="N12" s="27" t="s">
        <v>30</v>
      </c>
    </row>
    <row r="13" spans="1:16" x14ac:dyDescent="0.35">
      <c r="A13">
        <v>1</v>
      </c>
      <c r="B13" t="s">
        <v>358</v>
      </c>
      <c r="C13" s="49">
        <v>1700</v>
      </c>
      <c r="D13" s="49">
        <v>1700</v>
      </c>
      <c r="E13" s="49">
        <v>1900</v>
      </c>
      <c r="F13" s="49">
        <v>1800</v>
      </c>
      <c r="G13" s="49">
        <v>2150</v>
      </c>
      <c r="H13" s="49"/>
      <c r="J13" s="49"/>
      <c r="K13" s="49"/>
      <c r="L13" s="49"/>
      <c r="M13" s="49"/>
      <c r="N13" s="49"/>
    </row>
    <row r="14" spans="1:16" x14ac:dyDescent="0.35">
      <c r="A14">
        <v>2</v>
      </c>
      <c r="B14" t="s">
        <v>359</v>
      </c>
      <c r="C14" s="49">
        <v>1700</v>
      </c>
      <c r="D14" s="49">
        <v>1700</v>
      </c>
      <c r="E14" s="49">
        <v>1900</v>
      </c>
      <c r="F14" s="49">
        <v>1800</v>
      </c>
      <c r="G14" s="49">
        <v>1850</v>
      </c>
      <c r="H14" s="49"/>
      <c r="I14" t="s">
        <v>359</v>
      </c>
      <c r="J14" s="49">
        <v>1700</v>
      </c>
      <c r="K14" s="49">
        <v>1700</v>
      </c>
      <c r="L14" s="49">
        <v>1700</v>
      </c>
      <c r="M14" s="49">
        <v>1900</v>
      </c>
      <c r="N14" s="49">
        <v>1800</v>
      </c>
      <c r="O14" s="49">
        <v>1850</v>
      </c>
    </row>
    <row r="15" spans="1:16" x14ac:dyDescent="0.35">
      <c r="A15">
        <v>3</v>
      </c>
      <c r="B15" t="s">
        <v>360</v>
      </c>
      <c r="C15" s="49">
        <v>1650</v>
      </c>
      <c r="D15" s="49">
        <v>1700</v>
      </c>
      <c r="E15" s="49">
        <v>1800</v>
      </c>
      <c r="F15" s="49">
        <v>1700</v>
      </c>
      <c r="G15" s="49">
        <v>1800</v>
      </c>
      <c r="H15" s="49"/>
      <c r="I15" t="s">
        <v>360</v>
      </c>
      <c r="J15" s="49">
        <v>1650</v>
      </c>
      <c r="K15" s="49">
        <v>1700</v>
      </c>
      <c r="L15" s="49">
        <v>1800</v>
      </c>
      <c r="M15" s="49">
        <v>1700</v>
      </c>
      <c r="N15" s="49">
        <v>1800</v>
      </c>
    </row>
    <row r="16" spans="1:16" x14ac:dyDescent="0.35">
      <c r="A16">
        <v>4</v>
      </c>
      <c r="B16" t="s">
        <v>361</v>
      </c>
      <c r="C16" s="49">
        <v>1700</v>
      </c>
      <c r="D16" s="49">
        <v>1700</v>
      </c>
      <c r="E16" s="49">
        <v>1800</v>
      </c>
      <c r="F16" s="49">
        <v>1700</v>
      </c>
      <c r="G16" s="49">
        <v>1800</v>
      </c>
      <c r="H16" s="49"/>
      <c r="I16" t="s">
        <v>361</v>
      </c>
      <c r="J16" s="49">
        <v>1700</v>
      </c>
      <c r="K16" s="49">
        <v>1700</v>
      </c>
      <c r="L16" s="49">
        <v>1800</v>
      </c>
      <c r="M16" s="49">
        <v>1700</v>
      </c>
      <c r="N16" s="49">
        <v>1800</v>
      </c>
    </row>
    <row r="17" spans="1:16" x14ac:dyDescent="0.35">
      <c r="A17">
        <v>5</v>
      </c>
      <c r="B17" t="s">
        <v>362</v>
      </c>
      <c r="C17" s="49">
        <v>1700</v>
      </c>
      <c r="D17" s="49">
        <v>1700</v>
      </c>
      <c r="E17" s="49">
        <v>1900</v>
      </c>
      <c r="F17" s="49">
        <v>1800</v>
      </c>
      <c r="G17" s="49">
        <v>1850</v>
      </c>
      <c r="H17" s="49"/>
      <c r="I17" t="s">
        <v>362</v>
      </c>
      <c r="J17" s="49">
        <v>1700</v>
      </c>
      <c r="K17" s="49">
        <v>1700</v>
      </c>
      <c r="L17" s="49">
        <v>1900</v>
      </c>
      <c r="M17" s="49">
        <v>1800</v>
      </c>
      <c r="N17" s="49">
        <v>1850</v>
      </c>
    </row>
    <row r="18" spans="1:16" x14ac:dyDescent="0.35">
      <c r="A18">
        <v>6</v>
      </c>
      <c r="B18" t="s">
        <v>452</v>
      </c>
      <c r="C18" s="49">
        <f>C15</f>
        <v>1650</v>
      </c>
      <c r="D18" s="49">
        <f t="shared" ref="D18:G18" si="0">D15</f>
        <v>1700</v>
      </c>
      <c r="E18" s="49">
        <f t="shared" si="0"/>
        <v>1800</v>
      </c>
      <c r="F18" s="49">
        <f t="shared" si="0"/>
        <v>1700</v>
      </c>
      <c r="G18" s="49">
        <f t="shared" si="0"/>
        <v>1800</v>
      </c>
      <c r="I18" t="s">
        <v>452</v>
      </c>
      <c r="J18" s="49">
        <f>J15</f>
        <v>1650</v>
      </c>
      <c r="K18" s="49">
        <f t="shared" ref="K18:N18" si="1">K15</f>
        <v>1700</v>
      </c>
      <c r="L18" s="49">
        <f t="shared" si="1"/>
        <v>1800</v>
      </c>
      <c r="M18" s="49">
        <f t="shared" si="1"/>
        <v>1700</v>
      </c>
      <c r="N18" s="49">
        <f t="shared" si="1"/>
        <v>1800</v>
      </c>
    </row>
    <row r="19" spans="1:16" x14ac:dyDescent="0.35">
      <c r="A19">
        <v>7</v>
      </c>
      <c r="B19" t="s">
        <v>349</v>
      </c>
      <c r="C19" s="49">
        <v>1700</v>
      </c>
      <c r="D19" s="49">
        <v>1700</v>
      </c>
      <c r="E19" s="49">
        <v>1800</v>
      </c>
      <c r="F19" s="49">
        <v>1700</v>
      </c>
      <c r="G19" s="49">
        <v>1800</v>
      </c>
      <c r="H19" s="49"/>
      <c r="I19" t="s">
        <v>351</v>
      </c>
      <c r="J19" s="49">
        <v>1000</v>
      </c>
      <c r="K19" s="49">
        <v>1000</v>
      </c>
      <c r="L19" s="49">
        <v>1000</v>
      </c>
      <c r="M19" s="49">
        <v>1000</v>
      </c>
      <c r="N19" s="49">
        <v>1000</v>
      </c>
    </row>
    <row r="20" spans="1:16" x14ac:dyDescent="0.35">
      <c r="A20">
        <v>8</v>
      </c>
      <c r="B20" t="s">
        <v>350</v>
      </c>
      <c r="C20" s="49">
        <v>1700</v>
      </c>
      <c r="D20" s="49">
        <v>1700</v>
      </c>
      <c r="E20" s="49">
        <v>1900</v>
      </c>
      <c r="F20" s="49">
        <v>1800</v>
      </c>
      <c r="G20" s="49">
        <v>2150</v>
      </c>
      <c r="H20" s="49"/>
      <c r="I20" t="s">
        <v>352</v>
      </c>
      <c r="J20" s="49">
        <v>1500</v>
      </c>
      <c r="K20" s="49">
        <v>1500</v>
      </c>
      <c r="L20" s="49">
        <v>1500</v>
      </c>
      <c r="M20" s="49">
        <v>1500</v>
      </c>
      <c r="N20" s="49">
        <v>1500</v>
      </c>
    </row>
    <row r="21" spans="1:16" x14ac:dyDescent="0.35">
      <c r="A21">
        <v>9</v>
      </c>
      <c r="B21" t="s">
        <v>351</v>
      </c>
      <c r="C21" s="49">
        <v>1000</v>
      </c>
      <c r="D21" s="49">
        <v>1000</v>
      </c>
      <c r="E21" s="49">
        <v>1000</v>
      </c>
      <c r="F21" s="49">
        <v>1000</v>
      </c>
      <c r="G21" s="49">
        <v>1000</v>
      </c>
      <c r="H21" s="49"/>
    </row>
    <row r="22" spans="1:16" x14ac:dyDescent="0.35">
      <c r="A22">
        <v>10</v>
      </c>
      <c r="B22" t="s">
        <v>352</v>
      </c>
      <c r="C22" s="49">
        <v>1500</v>
      </c>
      <c r="D22" s="49">
        <v>1500</v>
      </c>
      <c r="E22" s="49">
        <v>1500</v>
      </c>
      <c r="F22" s="49">
        <v>1500</v>
      </c>
      <c r="G22" s="49">
        <v>1500</v>
      </c>
      <c r="H22" s="49"/>
    </row>
    <row r="23" spans="1:16" x14ac:dyDescent="0.35">
      <c r="A23">
        <v>11</v>
      </c>
      <c r="B23" t="s">
        <v>366</v>
      </c>
      <c r="C23" s="49">
        <v>1700</v>
      </c>
      <c r="D23" s="49">
        <v>1700</v>
      </c>
      <c r="E23" s="49">
        <v>1900</v>
      </c>
      <c r="F23" s="49">
        <v>1800</v>
      </c>
      <c r="G23" s="49">
        <v>2090</v>
      </c>
      <c r="H23" s="49"/>
    </row>
    <row r="24" spans="1:16" x14ac:dyDescent="0.35">
      <c r="C24" s="49"/>
      <c r="D24" s="49"/>
      <c r="E24" s="49"/>
      <c r="F24" s="49"/>
      <c r="G24" s="49"/>
      <c r="H24" s="49"/>
      <c r="I24" s="49"/>
      <c r="P24">
        <v>2025</v>
      </c>
    </row>
    <row r="25" spans="1:16" x14ac:dyDescent="0.35">
      <c r="P25">
        <v>2026</v>
      </c>
    </row>
    <row r="26" spans="1:16" x14ac:dyDescent="0.35">
      <c r="P26">
        <v>2027</v>
      </c>
    </row>
    <row r="27" spans="1:16" x14ac:dyDescent="0.35">
      <c r="C27" s="27" t="s">
        <v>353</v>
      </c>
      <c r="D27" s="27" t="s">
        <v>354</v>
      </c>
      <c r="E27" s="27" t="s">
        <v>355</v>
      </c>
      <c r="F27" s="27"/>
      <c r="G27" s="27"/>
      <c r="H27" s="27"/>
      <c r="J27" s="27" t="s">
        <v>353</v>
      </c>
      <c r="K27" s="27" t="s">
        <v>354</v>
      </c>
      <c r="L27" s="27" t="s">
        <v>355</v>
      </c>
      <c r="P27">
        <v>2028</v>
      </c>
    </row>
    <row r="28" spans="1:16" x14ac:dyDescent="0.35">
      <c r="A28">
        <v>1</v>
      </c>
      <c r="B28" t="s">
        <v>358</v>
      </c>
      <c r="C28" s="311">
        <v>12.56418</v>
      </c>
      <c r="D28" s="311">
        <v>0.64058000000000004</v>
      </c>
      <c r="E28" s="311">
        <v>3.3999999999999998E-3</v>
      </c>
      <c r="I28" t="s">
        <v>358</v>
      </c>
      <c r="J28" s="311">
        <v>12.56418</v>
      </c>
      <c r="K28" s="311">
        <v>0.64058000000000004</v>
      </c>
      <c r="L28" s="311">
        <v>3.3999999999999998E-3</v>
      </c>
      <c r="P28">
        <v>2029</v>
      </c>
    </row>
    <row r="29" spans="1:16" x14ac:dyDescent="0.35">
      <c r="A29">
        <v>2</v>
      </c>
      <c r="B29" t="s">
        <v>359</v>
      </c>
      <c r="C29" s="311">
        <v>9.3863400000000006</v>
      </c>
      <c r="D29" s="311">
        <v>0.65734999999999999</v>
      </c>
      <c r="E29" s="311">
        <v>3.48E-3</v>
      </c>
      <c r="I29" t="s">
        <v>359</v>
      </c>
      <c r="J29" s="311">
        <v>9.3863400000000006</v>
      </c>
      <c r="K29" s="311">
        <v>0.65734999999999999</v>
      </c>
      <c r="L29" s="311">
        <v>3.48E-3</v>
      </c>
      <c r="P29">
        <v>2030</v>
      </c>
    </row>
    <row r="30" spans="1:16" x14ac:dyDescent="0.35">
      <c r="A30">
        <v>3</v>
      </c>
      <c r="B30" t="s">
        <v>360</v>
      </c>
      <c r="C30" s="311">
        <v>9.3863400000000006</v>
      </c>
      <c r="D30" s="311">
        <v>0.65734999999999999</v>
      </c>
      <c r="E30" s="311">
        <v>3.48E-3</v>
      </c>
      <c r="I30" t="s">
        <v>360</v>
      </c>
      <c r="J30" s="311">
        <v>9.3863400000000006</v>
      </c>
      <c r="K30" s="311">
        <v>0.65734999999999999</v>
      </c>
      <c r="L30" s="311">
        <v>3.48E-3</v>
      </c>
      <c r="P30">
        <v>2031</v>
      </c>
    </row>
    <row r="31" spans="1:16" x14ac:dyDescent="0.35">
      <c r="A31">
        <v>4</v>
      </c>
      <c r="B31" t="s">
        <v>361</v>
      </c>
      <c r="C31" s="311">
        <v>9.3863400000000006</v>
      </c>
      <c r="D31" s="311">
        <v>0.65734999999999999</v>
      </c>
      <c r="E31" s="311">
        <v>3.48E-3</v>
      </c>
      <c r="I31" t="s">
        <v>361</v>
      </c>
      <c r="J31" s="311">
        <v>9.3863400000000006</v>
      </c>
      <c r="K31" s="311">
        <v>0.65734999999999999</v>
      </c>
      <c r="L31" s="311">
        <v>3.48E-3</v>
      </c>
      <c r="P31">
        <v>2032</v>
      </c>
    </row>
    <row r="32" spans="1:16" x14ac:dyDescent="0.35">
      <c r="A32">
        <v>5</v>
      </c>
      <c r="B32" t="s">
        <v>362</v>
      </c>
      <c r="C32" s="311">
        <v>9.3863400000000006</v>
      </c>
      <c r="D32" s="311">
        <v>0.65734999999999999</v>
      </c>
      <c r="E32" s="311">
        <v>3.48E-3</v>
      </c>
      <c r="I32" t="s">
        <v>362</v>
      </c>
      <c r="J32" s="311">
        <v>9.3863400000000006</v>
      </c>
      <c r="K32" s="311">
        <v>0.65734999999999999</v>
      </c>
      <c r="L32" s="311">
        <v>3.48E-3</v>
      </c>
      <c r="P32">
        <v>2033</v>
      </c>
    </row>
    <row r="33" spans="1:33" x14ac:dyDescent="0.35">
      <c r="A33">
        <v>6</v>
      </c>
      <c r="B33" t="s">
        <v>452</v>
      </c>
      <c r="C33" s="311">
        <f>C30</f>
        <v>9.3863400000000006</v>
      </c>
      <c r="D33" s="311">
        <f t="shared" ref="D33:E33" si="2">D30</f>
        <v>0.65734999999999999</v>
      </c>
      <c r="E33" s="311">
        <f t="shared" si="2"/>
        <v>3.48E-3</v>
      </c>
      <c r="I33" t="s">
        <v>452</v>
      </c>
      <c r="J33" s="311">
        <f>J30</f>
        <v>9.3863400000000006</v>
      </c>
      <c r="K33" s="311">
        <f t="shared" ref="K33:L33" si="3">K30</f>
        <v>0.65734999999999999</v>
      </c>
      <c r="L33" s="311">
        <f t="shared" si="3"/>
        <v>3.48E-3</v>
      </c>
      <c r="P33">
        <v>2034</v>
      </c>
    </row>
    <row r="34" spans="1:33" x14ac:dyDescent="0.35">
      <c r="A34">
        <v>7</v>
      </c>
      <c r="B34" t="s">
        <v>349</v>
      </c>
      <c r="C34" s="311">
        <v>0</v>
      </c>
      <c r="D34" s="311">
        <v>0.6</v>
      </c>
      <c r="E34" s="311">
        <v>0</v>
      </c>
      <c r="I34" t="s">
        <v>349</v>
      </c>
      <c r="J34" s="311">
        <v>0</v>
      </c>
      <c r="K34" s="311">
        <v>0.6</v>
      </c>
      <c r="L34" s="311">
        <v>0</v>
      </c>
      <c r="P34">
        <v>2035</v>
      </c>
    </row>
    <row r="35" spans="1:33" x14ac:dyDescent="0.35">
      <c r="A35">
        <v>8</v>
      </c>
      <c r="B35" t="s">
        <v>350</v>
      </c>
      <c r="C35" s="311">
        <v>12.56418</v>
      </c>
      <c r="D35" s="311">
        <v>0.64058000000000004</v>
      </c>
      <c r="E35" s="311">
        <v>3.3999999999999998E-3</v>
      </c>
      <c r="I35" t="s">
        <v>350</v>
      </c>
      <c r="J35" s="311">
        <v>12.56418</v>
      </c>
      <c r="K35" s="311">
        <v>0.64058000000000004</v>
      </c>
      <c r="L35" s="311">
        <v>3.3999999999999998E-3</v>
      </c>
      <c r="P35">
        <v>2036</v>
      </c>
    </row>
    <row r="36" spans="1:33" x14ac:dyDescent="0.35">
      <c r="A36">
        <v>9</v>
      </c>
      <c r="B36" t="s">
        <v>351</v>
      </c>
      <c r="C36" s="311">
        <v>9.3863400000000006</v>
      </c>
      <c r="D36" s="311">
        <v>0.65734999999999999</v>
      </c>
      <c r="E36" s="311">
        <v>3.48E-3</v>
      </c>
      <c r="I36" t="s">
        <v>351</v>
      </c>
      <c r="J36" s="311">
        <v>9.3863400000000006</v>
      </c>
      <c r="K36" s="311">
        <v>0.65734999999999999</v>
      </c>
      <c r="L36" s="311">
        <v>3.48E-3</v>
      </c>
      <c r="P36">
        <v>2037</v>
      </c>
    </row>
    <row r="37" spans="1:33" x14ac:dyDescent="0.35">
      <c r="A37">
        <v>10</v>
      </c>
      <c r="B37" t="s">
        <v>352</v>
      </c>
      <c r="C37" s="311">
        <v>9.3863400000000006</v>
      </c>
      <c r="D37" s="311">
        <v>0.65734999999999999</v>
      </c>
      <c r="E37" s="311">
        <v>3.48E-3</v>
      </c>
      <c r="I37" t="s">
        <v>352</v>
      </c>
      <c r="J37" s="311">
        <v>9.3863400000000006</v>
      </c>
      <c r="K37" s="311">
        <v>0.65734999999999999</v>
      </c>
      <c r="L37" s="311">
        <v>3.48E-3</v>
      </c>
      <c r="P37">
        <v>2038</v>
      </c>
    </row>
    <row r="38" spans="1:33" x14ac:dyDescent="0.35">
      <c r="A38">
        <v>11</v>
      </c>
      <c r="B38" t="s">
        <v>366</v>
      </c>
      <c r="C38" s="311">
        <v>12.56418</v>
      </c>
      <c r="D38" s="311">
        <v>0.64058000000000004</v>
      </c>
      <c r="E38" s="311">
        <v>3.3999999999999998E-3</v>
      </c>
      <c r="I38" t="s">
        <v>366</v>
      </c>
      <c r="J38" s="311">
        <v>12.56418</v>
      </c>
      <c r="K38" s="311">
        <v>0.64058000000000004</v>
      </c>
      <c r="L38" s="311">
        <v>3.3999999999999998E-3</v>
      </c>
      <c r="P38">
        <v>2039</v>
      </c>
      <c r="AG38" t="s">
        <v>338</v>
      </c>
    </row>
    <row r="39" spans="1:33" x14ac:dyDescent="0.35">
      <c r="P39">
        <v>2040</v>
      </c>
    </row>
    <row r="41" spans="1:33" ht="15.5" x14ac:dyDescent="0.35">
      <c r="A41" s="244" t="s">
        <v>275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33" ht="15.5" x14ac:dyDescent="0.35">
      <c r="A42" s="249" t="s">
        <v>286</v>
      </c>
    </row>
    <row r="43" spans="1:33" ht="27.75" customHeight="1" x14ac:dyDescent="0.35">
      <c r="A43" s="471" t="s">
        <v>277</v>
      </c>
      <c r="B43" s="245" t="s">
        <v>278</v>
      </c>
      <c r="C43" s="245" t="s">
        <v>287</v>
      </c>
    </row>
    <row r="44" spans="1:33" ht="26" x14ac:dyDescent="0.35">
      <c r="A44" s="472"/>
      <c r="B44" s="246" t="s">
        <v>279</v>
      </c>
      <c r="C44" s="246" t="s">
        <v>288</v>
      </c>
    </row>
    <row r="45" spans="1:33" x14ac:dyDescent="0.35">
      <c r="A45" s="247" t="s">
        <v>3</v>
      </c>
      <c r="B45" s="248" t="s">
        <v>280</v>
      </c>
      <c r="C45" s="248" t="s">
        <v>289</v>
      </c>
    </row>
    <row r="46" spans="1:33" ht="25" x14ac:dyDescent="0.35">
      <c r="A46" s="247" t="s">
        <v>4</v>
      </c>
      <c r="B46" s="248" t="s">
        <v>281</v>
      </c>
      <c r="C46" s="248" t="s">
        <v>290</v>
      </c>
    </row>
    <row r="47" spans="1:33" ht="25" x14ac:dyDescent="0.35">
      <c r="A47" s="247" t="s">
        <v>5</v>
      </c>
      <c r="B47" s="248" t="s">
        <v>282</v>
      </c>
      <c r="C47" s="248" t="s">
        <v>291</v>
      </c>
    </row>
    <row r="48" spans="1:33" ht="75" x14ac:dyDescent="0.35">
      <c r="A48" s="247" t="s">
        <v>6</v>
      </c>
      <c r="B48" s="248" t="s">
        <v>283</v>
      </c>
      <c r="C48" s="248" t="s">
        <v>292</v>
      </c>
    </row>
    <row r="49" spans="1:16" ht="25" x14ac:dyDescent="0.35">
      <c r="A49" s="247" t="s">
        <v>7</v>
      </c>
      <c r="B49" s="248" t="s">
        <v>284</v>
      </c>
      <c r="C49" s="248" t="s">
        <v>293</v>
      </c>
    </row>
    <row r="50" spans="1:16" x14ac:dyDescent="0.35">
      <c r="A50" s="247" t="s">
        <v>8</v>
      </c>
      <c r="B50" s="248" t="s">
        <v>285</v>
      </c>
      <c r="C50" s="248" t="s">
        <v>294</v>
      </c>
    </row>
    <row r="54" spans="1:16" ht="15.5" x14ac:dyDescent="0.35">
      <c r="A54" s="244" t="s">
        <v>272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</row>
    <row r="56" spans="1:16" x14ac:dyDescent="0.35">
      <c r="A56" s="16"/>
      <c r="B56" s="35" t="s">
        <v>15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6" x14ac:dyDescent="0.35">
      <c r="A57" s="16"/>
      <c r="B57" s="7" t="s">
        <v>20</v>
      </c>
      <c r="C57" s="231" t="s">
        <v>13</v>
      </c>
      <c r="D57" s="16"/>
      <c r="E57" s="16"/>
      <c r="F57" s="16"/>
      <c r="G57" s="7" t="s">
        <v>43</v>
      </c>
      <c r="H57" s="16"/>
      <c r="I57" s="16"/>
      <c r="J57" s="16"/>
      <c r="K57" s="16"/>
      <c r="L57" s="16"/>
      <c r="M57" s="16"/>
      <c r="N57" s="16"/>
    </row>
    <row r="58" spans="1:16" x14ac:dyDescent="0.35">
      <c r="A58" s="231" t="s">
        <v>14</v>
      </c>
      <c r="B58" s="231" t="s">
        <v>19</v>
      </c>
      <c r="C58" s="231" t="s">
        <v>16</v>
      </c>
      <c r="D58" s="232" t="s">
        <v>17</v>
      </c>
      <c r="E58" s="231" t="s">
        <v>18</v>
      </c>
      <c r="F58" s="16"/>
      <c r="G58" s="16"/>
      <c r="H58" s="231" t="s">
        <v>19</v>
      </c>
      <c r="I58" s="231" t="s">
        <v>16</v>
      </c>
      <c r="J58" s="232" t="s">
        <v>17</v>
      </c>
      <c r="K58" s="231" t="s">
        <v>18</v>
      </c>
      <c r="L58" s="16"/>
      <c r="M58" s="16"/>
      <c r="N58" s="16"/>
    </row>
    <row r="59" spans="1:16" x14ac:dyDescent="0.35">
      <c r="A59" s="16"/>
      <c r="B59" s="231">
        <v>12000</v>
      </c>
      <c r="C59" s="16">
        <v>1.9E-3</v>
      </c>
      <c r="D59" s="16">
        <v>2.8999999999999998E-3</v>
      </c>
      <c r="E59" s="16">
        <v>3.8E-3</v>
      </c>
      <c r="F59" s="16"/>
      <c r="G59" s="231" t="s">
        <v>14</v>
      </c>
      <c r="H59" s="231">
        <v>12000</v>
      </c>
      <c r="I59" s="16">
        <v>1.04E-2</v>
      </c>
      <c r="J59" s="16">
        <v>1.55E-2</v>
      </c>
      <c r="K59" s="16">
        <v>2.07E-2</v>
      </c>
      <c r="L59" s="16"/>
      <c r="M59" s="16"/>
      <c r="N59" s="16"/>
    </row>
    <row r="60" spans="1:16" x14ac:dyDescent="0.35">
      <c r="A60" s="16"/>
      <c r="B60" s="231">
        <v>24000</v>
      </c>
      <c r="C60" s="16">
        <v>1.4E-3</v>
      </c>
      <c r="D60" s="16">
        <v>2E-3</v>
      </c>
      <c r="E60" s="16">
        <v>2.7000000000000001E-3</v>
      </c>
      <c r="F60" s="16"/>
      <c r="G60" s="16"/>
      <c r="H60" s="231">
        <v>24000</v>
      </c>
      <c r="I60" s="16">
        <v>7.3000000000000001E-3</v>
      </c>
      <c r="J60" s="16">
        <v>1.09E-2</v>
      </c>
      <c r="K60" s="16">
        <v>1.4500000000000001E-2</v>
      </c>
      <c r="L60" s="16"/>
      <c r="M60" s="16"/>
      <c r="N60" s="16"/>
    </row>
    <row r="61" spans="1:16" x14ac:dyDescent="0.35">
      <c r="A61" s="16"/>
      <c r="B61" s="231">
        <v>30000</v>
      </c>
      <c r="C61" s="16">
        <v>1E-3</v>
      </c>
      <c r="D61" s="16">
        <v>1.4E-3</v>
      </c>
      <c r="E61" s="16">
        <v>1.9E-3</v>
      </c>
      <c r="F61" s="16"/>
      <c r="G61" s="16"/>
      <c r="H61" s="231">
        <v>30000</v>
      </c>
      <c r="I61" s="16">
        <v>5.1999999999999998E-3</v>
      </c>
      <c r="J61" s="16">
        <v>7.7999999999999996E-3</v>
      </c>
      <c r="K61" s="16">
        <v>1.04E-2</v>
      </c>
      <c r="L61" s="16"/>
      <c r="M61" s="16"/>
      <c r="N61" s="16"/>
    </row>
    <row r="62" spans="1:16" x14ac:dyDescent="0.35">
      <c r="A62" s="16"/>
      <c r="B62" s="231"/>
      <c r="C62" s="16"/>
      <c r="D62" s="16"/>
      <c r="E62" s="16"/>
      <c r="F62" s="16"/>
      <c r="G62" s="16"/>
      <c r="H62" s="231"/>
      <c r="I62" s="16"/>
      <c r="J62" s="16"/>
      <c r="K62" s="16"/>
      <c r="L62" s="16"/>
      <c r="M62" s="16"/>
      <c r="N62" s="16"/>
    </row>
    <row r="63" spans="1:16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6" x14ac:dyDescent="0.35">
      <c r="A64" s="16"/>
      <c r="B64" s="35" t="s">
        <v>157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35">
      <c r="A65" s="16"/>
      <c r="B65" s="16" t="s">
        <v>158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35">
      <c r="A66" s="16"/>
      <c r="B66" s="16"/>
      <c r="C66" s="16" t="s">
        <v>159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35">
      <c r="A67" s="16"/>
      <c r="B67" s="16" t="s">
        <v>160</v>
      </c>
      <c r="C67" s="16">
        <v>5.0000000000000001E-4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35">
      <c r="A68" s="16"/>
      <c r="B68" s="16" t="s">
        <v>161</v>
      </c>
      <c r="C68" s="16">
        <v>1E-3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35">
      <c r="A69" s="16"/>
      <c r="B69" s="16" t="s">
        <v>162</v>
      </c>
      <c r="C69" s="16">
        <v>1.5E-3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3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35">
      <c r="A71" s="16"/>
      <c r="B71" s="35" t="s">
        <v>163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35">
      <c r="A72" s="16"/>
      <c r="B72" s="3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35">
      <c r="A73" s="16"/>
      <c r="B73" s="16" t="s">
        <v>41</v>
      </c>
      <c r="C73" s="231" t="s">
        <v>32</v>
      </c>
      <c r="D73" s="231" t="s">
        <v>21</v>
      </c>
      <c r="E73" s="231"/>
      <c r="F73" s="233" t="s">
        <v>33</v>
      </c>
      <c r="G73" s="16"/>
      <c r="H73" s="16"/>
      <c r="I73" s="16"/>
      <c r="J73" s="16"/>
      <c r="K73" s="16"/>
      <c r="L73" s="16"/>
      <c r="M73" s="16"/>
      <c r="N73" s="16"/>
    </row>
    <row r="74" spans="1:14" x14ac:dyDescent="0.35">
      <c r="A74" s="16"/>
      <c r="B74" s="16"/>
      <c r="C74" s="231"/>
      <c r="D74" s="231"/>
      <c r="E74" s="231"/>
      <c r="F74" s="233"/>
      <c r="G74" s="16"/>
      <c r="H74" s="16"/>
      <c r="I74" s="16"/>
      <c r="J74" s="16"/>
      <c r="K74" s="16"/>
      <c r="L74" s="16"/>
      <c r="M74" s="16"/>
      <c r="N74" s="16"/>
    </row>
    <row r="75" spans="1:14" x14ac:dyDescent="0.35">
      <c r="A75" s="16"/>
      <c r="B75" s="7" t="str">
        <f>B121</f>
        <v>CBD</v>
      </c>
      <c r="C75" s="146">
        <f t="shared" ref="C75:D75" si="4">C121</f>
        <v>1.6985544412558642E-2</v>
      </c>
      <c r="D75" s="146">
        <f t="shared" si="4"/>
        <v>3.3971088825117284E-2</v>
      </c>
      <c r="E75" s="234"/>
      <c r="F75" s="235" t="s">
        <v>34</v>
      </c>
      <c r="G75" s="16"/>
      <c r="H75" s="236"/>
      <c r="I75" s="236"/>
      <c r="J75" s="236"/>
      <c r="K75" s="237"/>
      <c r="L75" s="236"/>
      <c r="M75" s="16"/>
      <c r="N75" s="16"/>
    </row>
    <row r="76" spans="1:14" x14ac:dyDescent="0.35">
      <c r="A76" s="16"/>
      <c r="B76" s="7" t="str">
        <f t="shared" ref="B76:D76" si="5">B122</f>
        <v>CBD Fringe</v>
      </c>
      <c r="C76" s="146">
        <f t="shared" si="5"/>
        <v>1.6968995079457611E-2</v>
      </c>
      <c r="D76" s="146">
        <f t="shared" si="5"/>
        <v>3.3937990158915222E-2</v>
      </c>
      <c r="E76" s="234"/>
      <c r="F76" s="16"/>
      <c r="G76" s="17">
        <v>2005</v>
      </c>
      <c r="H76" s="17">
        <v>2035</v>
      </c>
      <c r="I76" s="17" t="s">
        <v>35</v>
      </c>
      <c r="J76" s="17">
        <v>2010</v>
      </c>
      <c r="K76" s="17">
        <v>2020</v>
      </c>
      <c r="L76" s="17">
        <v>2030</v>
      </c>
      <c r="M76" s="16"/>
      <c r="N76" s="16"/>
    </row>
    <row r="77" spans="1:14" x14ac:dyDescent="0.35">
      <c r="A77" s="16"/>
      <c r="B77" s="7" t="str">
        <f t="shared" ref="B77:D77" si="6">B123</f>
        <v>Residential</v>
      </c>
      <c r="C77" s="146">
        <f t="shared" si="6"/>
        <v>1.5948378262255571E-2</v>
      </c>
      <c r="D77" s="146">
        <f t="shared" si="6"/>
        <v>3.1896756524511141E-2</v>
      </c>
      <c r="E77" s="16"/>
      <c r="F77" s="16"/>
      <c r="G77" s="17"/>
      <c r="H77" s="17"/>
      <c r="I77" s="17"/>
      <c r="J77" s="17"/>
      <c r="K77" s="17"/>
      <c r="L77" s="17"/>
      <c r="M77" s="16"/>
      <c r="N77" s="16"/>
    </row>
    <row r="78" spans="1:14" x14ac:dyDescent="0.35">
      <c r="A78" s="16"/>
      <c r="B78" s="7" t="str">
        <f t="shared" ref="B78:D78" si="7">B124</f>
        <v>Suburban CBD</v>
      </c>
      <c r="C78" s="146">
        <f t="shared" si="7"/>
        <v>1.7027059315920728E-2</v>
      </c>
      <c r="D78" s="146">
        <f t="shared" si="7"/>
        <v>3.4054118631841455E-2</v>
      </c>
      <c r="E78" s="16"/>
      <c r="F78" s="7" t="s">
        <v>36</v>
      </c>
      <c r="G78" s="33">
        <v>11422</v>
      </c>
      <c r="H78" s="33">
        <v>13798</v>
      </c>
      <c r="I78" s="33">
        <v>16191</v>
      </c>
      <c r="J78" s="33">
        <v>11818</v>
      </c>
      <c r="K78" s="33">
        <v>12610</v>
      </c>
      <c r="L78" s="33">
        <v>13402</v>
      </c>
      <c r="M78" s="16"/>
      <c r="N78" s="16"/>
    </row>
    <row r="79" spans="1:14" x14ac:dyDescent="0.35">
      <c r="A79" s="16"/>
      <c r="B79" s="7" t="str">
        <f t="shared" ref="B79:D79" si="8">B125</f>
        <v>Rural</v>
      </c>
      <c r="C79" s="146">
        <f t="shared" si="8"/>
        <v>1.4021549049472557E-2</v>
      </c>
      <c r="D79" s="146">
        <f t="shared" si="8"/>
        <v>2.8043098098945115E-2</v>
      </c>
      <c r="E79" s="16"/>
      <c r="F79" s="7" t="s">
        <v>37</v>
      </c>
      <c r="G79" s="33">
        <v>10083</v>
      </c>
      <c r="H79" s="33">
        <v>12196</v>
      </c>
      <c r="I79" s="33">
        <v>14359</v>
      </c>
      <c r="J79" s="33">
        <v>10435.166666666666</v>
      </c>
      <c r="K79" s="33">
        <v>11139.5</v>
      </c>
      <c r="L79" s="33">
        <v>11843.833333333334</v>
      </c>
      <c r="M79" s="16"/>
      <c r="N79" s="16"/>
    </row>
    <row r="80" spans="1:14" x14ac:dyDescent="0.35">
      <c r="A80" s="16"/>
      <c r="B80" s="16"/>
      <c r="C80" s="16"/>
      <c r="D80" s="16"/>
      <c r="E80" s="16"/>
      <c r="F80" s="7"/>
      <c r="G80" s="33"/>
      <c r="H80" s="33"/>
      <c r="I80" s="33"/>
      <c r="J80" s="33"/>
      <c r="K80" s="33"/>
      <c r="L80" s="33"/>
      <c r="M80" s="16"/>
      <c r="N80" s="16"/>
    </row>
    <row r="81" spans="1:14" x14ac:dyDescent="0.35">
      <c r="A81" s="16"/>
      <c r="B81" s="16"/>
      <c r="C81" s="16"/>
      <c r="D81" s="16"/>
      <c r="E81" s="16"/>
      <c r="F81" s="7" t="s">
        <v>38</v>
      </c>
      <c r="G81" s="33">
        <v>9345</v>
      </c>
      <c r="H81" s="33">
        <v>11345</v>
      </c>
      <c r="I81" s="33">
        <v>13406</v>
      </c>
      <c r="J81" s="33">
        <v>9678.3333333333339</v>
      </c>
      <c r="K81" s="33">
        <v>10345</v>
      </c>
      <c r="L81" s="33">
        <v>11011.666666666666</v>
      </c>
      <c r="M81" s="16"/>
      <c r="N81" s="16"/>
    </row>
    <row r="82" spans="1:14" x14ac:dyDescent="0.35">
      <c r="A82" s="16" t="s">
        <v>21</v>
      </c>
      <c r="B82" s="16"/>
      <c r="C82" s="16"/>
      <c r="D82" s="16"/>
      <c r="E82" s="16"/>
      <c r="F82" s="7" t="s">
        <v>39</v>
      </c>
      <c r="G82" s="33">
        <v>7986</v>
      </c>
      <c r="H82" s="33">
        <v>9782</v>
      </c>
      <c r="I82" s="33">
        <v>11651</v>
      </c>
      <c r="J82" s="33">
        <v>8285.3333333333339</v>
      </c>
      <c r="K82" s="33">
        <v>8884</v>
      </c>
      <c r="L82" s="33">
        <v>9482.6666666666661</v>
      </c>
      <c r="M82" s="16"/>
      <c r="N82" s="16"/>
    </row>
    <row r="83" spans="1:14" x14ac:dyDescent="0.35">
      <c r="A83" s="16" t="s">
        <v>32</v>
      </c>
      <c r="B83" s="16"/>
      <c r="C83" s="16"/>
      <c r="D83" s="16"/>
      <c r="E83" s="16"/>
      <c r="F83" s="7" t="s">
        <v>40</v>
      </c>
      <c r="G83" s="33">
        <v>4437</v>
      </c>
      <c r="H83" s="33">
        <v>5651</v>
      </c>
      <c r="I83" s="33">
        <v>5940</v>
      </c>
      <c r="J83" s="33">
        <v>4639.333333333333</v>
      </c>
      <c r="K83" s="33">
        <v>5044</v>
      </c>
      <c r="L83" s="33">
        <v>5448.666666666667</v>
      </c>
      <c r="M83" s="16"/>
      <c r="N83" s="16"/>
    </row>
    <row r="84" spans="1:14" x14ac:dyDescent="0.35">
      <c r="A84" s="16"/>
      <c r="B84" s="16"/>
      <c r="C84" s="16"/>
      <c r="D84" s="16"/>
      <c r="E84" s="16"/>
      <c r="F84" s="7"/>
      <c r="G84" s="33"/>
      <c r="H84" s="33"/>
      <c r="I84" s="33"/>
      <c r="J84" s="33"/>
      <c r="K84" s="33"/>
      <c r="L84" s="33"/>
      <c r="M84" s="16"/>
      <c r="N84" s="16"/>
    </row>
    <row r="86" spans="1:14" x14ac:dyDescent="0.35">
      <c r="K86" t="s">
        <v>356</v>
      </c>
      <c r="L86" t="s">
        <v>357</v>
      </c>
    </row>
    <row r="87" spans="1:14" x14ac:dyDescent="0.35">
      <c r="J87" t="str">
        <f>B13</f>
        <v>Freeway</v>
      </c>
      <c r="K87" s="312">
        <v>0.21</v>
      </c>
      <c r="L87" s="312">
        <v>5.05</v>
      </c>
    </row>
    <row r="88" spans="1:14" x14ac:dyDescent="0.35">
      <c r="J88" t="str">
        <f>B14</f>
        <v>Expressway</v>
      </c>
      <c r="K88" s="312">
        <v>0.34</v>
      </c>
      <c r="L88" s="33">
        <v>4</v>
      </c>
    </row>
    <row r="89" spans="1:14" x14ac:dyDescent="0.35">
      <c r="J89" t="str">
        <f>B15</f>
        <v>Two-Way Arterial (Parking)</v>
      </c>
      <c r="K89" s="312">
        <v>1.1100000000000001</v>
      </c>
      <c r="L89" s="33">
        <v>5</v>
      </c>
    </row>
    <row r="90" spans="1:14" x14ac:dyDescent="0.35">
      <c r="J90" t="str">
        <f>B16</f>
        <v>One-Way Arterial (Parking)</v>
      </c>
      <c r="K90" s="312">
        <v>0.96</v>
      </c>
      <c r="L90" s="33">
        <v>5</v>
      </c>
    </row>
    <row r="91" spans="1:14" x14ac:dyDescent="0.35">
      <c r="J91" t="str">
        <f>B18</f>
        <v>Collector</v>
      </c>
      <c r="K91" s="312">
        <f>K89</f>
        <v>1.1100000000000001</v>
      </c>
      <c r="L91" s="312">
        <f>L89</f>
        <v>5</v>
      </c>
    </row>
    <row r="92" spans="1:14" x14ac:dyDescent="0.35">
      <c r="J92" t="str">
        <f>B17</f>
        <v>Two-Way Arterial (No Parking)</v>
      </c>
      <c r="K92" s="312">
        <v>0.85</v>
      </c>
      <c r="L92" s="33">
        <v>5</v>
      </c>
    </row>
    <row r="93" spans="1:14" x14ac:dyDescent="0.35">
      <c r="J93" t="str">
        <f>B19</f>
        <v>Ramp</v>
      </c>
      <c r="K93" s="312">
        <v>0.34</v>
      </c>
      <c r="L93" s="33">
        <v>4</v>
      </c>
    </row>
    <row r="94" spans="1:14" x14ac:dyDescent="0.35">
      <c r="J94" t="str">
        <f>B20</f>
        <v>HOV (all classes)</v>
      </c>
      <c r="K94" s="312">
        <v>0.3</v>
      </c>
      <c r="L94" s="33">
        <v>8</v>
      </c>
    </row>
    <row r="95" spans="1:14" x14ac:dyDescent="0.35">
      <c r="J95" t="str">
        <f>B21</f>
        <v>Off-Ramp</v>
      </c>
      <c r="K95" s="312">
        <v>0.34</v>
      </c>
      <c r="L95" s="33">
        <v>4</v>
      </c>
    </row>
    <row r="96" spans="1:14" x14ac:dyDescent="0.35">
      <c r="J96" t="str">
        <f>B22</f>
        <v>On-Ramp</v>
      </c>
      <c r="K96" s="312">
        <v>0.34</v>
      </c>
      <c r="L96" s="33">
        <v>4</v>
      </c>
    </row>
    <row r="97" spans="1:16" x14ac:dyDescent="0.35">
      <c r="J97" t="str">
        <f>B23</f>
        <v>Freeway to Freeway Ramp</v>
      </c>
      <c r="K97" s="312">
        <v>0.34</v>
      </c>
      <c r="L97" s="33">
        <v>4</v>
      </c>
    </row>
    <row r="100" spans="1:16" ht="15.5" x14ac:dyDescent="0.35">
      <c r="A100" s="244" t="s">
        <v>276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2" spans="1:16" x14ac:dyDescent="0.35">
      <c r="A102" s="16"/>
      <c r="B102" s="35" t="s">
        <v>15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6" x14ac:dyDescent="0.35">
      <c r="A103" s="16"/>
      <c r="B103" s="7" t="s">
        <v>20</v>
      </c>
      <c r="C103" s="231" t="s">
        <v>13</v>
      </c>
      <c r="D103" s="16"/>
      <c r="E103" s="16"/>
      <c r="F103" s="16"/>
      <c r="G103" s="7" t="s">
        <v>43</v>
      </c>
      <c r="H103" s="16"/>
      <c r="I103" s="16"/>
      <c r="J103" s="16"/>
      <c r="K103" s="16"/>
      <c r="L103" s="16"/>
      <c r="M103" s="16"/>
      <c r="N103" s="16"/>
    </row>
    <row r="104" spans="1:16" x14ac:dyDescent="0.35">
      <c r="A104" s="16"/>
      <c r="B104" s="231" t="s">
        <v>19</v>
      </c>
      <c r="C104" s="231" t="s">
        <v>16</v>
      </c>
      <c r="D104" s="232" t="s">
        <v>17</v>
      </c>
      <c r="E104" s="231" t="s">
        <v>18</v>
      </c>
      <c r="F104" s="16"/>
      <c r="G104" s="16"/>
      <c r="H104" s="231" t="s">
        <v>19</v>
      </c>
      <c r="I104" s="231" t="s">
        <v>16</v>
      </c>
      <c r="J104" s="232" t="s">
        <v>17</v>
      </c>
      <c r="K104" s="231" t="s">
        <v>18</v>
      </c>
      <c r="L104" s="16"/>
      <c r="M104" s="16"/>
      <c r="N104" s="16"/>
    </row>
    <row r="105" spans="1:16" x14ac:dyDescent="0.35">
      <c r="A105" s="231" t="s">
        <v>14</v>
      </c>
      <c r="B105" s="231">
        <v>12000</v>
      </c>
      <c r="C105" s="16">
        <v>1.9E-3</v>
      </c>
      <c r="D105" s="16">
        <v>2.8999999999999998E-3</v>
      </c>
      <c r="E105" s="16">
        <v>3.8E-3</v>
      </c>
      <c r="F105" s="16"/>
      <c r="G105" s="231" t="s">
        <v>14</v>
      </c>
      <c r="H105" s="231">
        <v>12000</v>
      </c>
      <c r="I105" s="16">
        <v>1.04E-2</v>
      </c>
      <c r="J105" s="16">
        <v>1.55E-2</v>
      </c>
      <c r="K105" s="16">
        <v>2.07E-2</v>
      </c>
      <c r="L105" s="16"/>
      <c r="M105" s="16"/>
      <c r="N105" s="16"/>
    </row>
    <row r="106" spans="1:16" x14ac:dyDescent="0.35">
      <c r="A106" s="16"/>
      <c r="B106" s="231">
        <v>24000</v>
      </c>
      <c r="C106" s="16">
        <v>1.4E-3</v>
      </c>
      <c r="D106" s="16">
        <v>2E-3</v>
      </c>
      <c r="E106" s="16">
        <v>2.7000000000000001E-3</v>
      </c>
      <c r="F106" s="16"/>
      <c r="G106" s="16"/>
      <c r="H106" s="231">
        <v>24000</v>
      </c>
      <c r="I106" s="16">
        <v>7.3000000000000001E-3</v>
      </c>
      <c r="J106" s="16">
        <v>1.09E-2</v>
      </c>
      <c r="K106" s="16">
        <v>1.4500000000000001E-2</v>
      </c>
      <c r="L106" s="16"/>
      <c r="M106" s="16"/>
      <c r="N106" s="16"/>
    </row>
    <row r="107" spans="1:16" x14ac:dyDescent="0.35">
      <c r="A107" s="16"/>
      <c r="B107" s="231">
        <v>30000</v>
      </c>
      <c r="C107" s="16">
        <v>1E-3</v>
      </c>
      <c r="D107" s="16">
        <v>1.4E-3</v>
      </c>
      <c r="E107" s="16">
        <v>1.9E-3</v>
      </c>
      <c r="F107" s="16"/>
      <c r="G107" s="16"/>
      <c r="H107" s="231">
        <v>30000</v>
      </c>
      <c r="I107" s="16">
        <v>5.1999999999999998E-3</v>
      </c>
      <c r="J107" s="16">
        <v>7.7999999999999996E-3</v>
      </c>
      <c r="K107" s="16">
        <v>1.04E-2</v>
      </c>
      <c r="L107" s="16"/>
      <c r="M107" s="16"/>
      <c r="N107" s="16"/>
    </row>
    <row r="108" spans="1:16" x14ac:dyDescent="0.35">
      <c r="A108" s="16"/>
      <c r="B108" s="231"/>
      <c r="C108" s="16"/>
      <c r="D108" s="16"/>
      <c r="E108" s="16"/>
      <c r="F108" s="16"/>
      <c r="G108" s="16"/>
      <c r="H108" s="231"/>
      <c r="I108" s="16"/>
      <c r="J108" s="16"/>
      <c r="K108" s="16"/>
      <c r="L108" s="16"/>
      <c r="M108" s="16"/>
      <c r="N108" s="16"/>
    </row>
    <row r="109" spans="1:16" x14ac:dyDescent="0.3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6" x14ac:dyDescent="0.35">
      <c r="A110" s="16"/>
      <c r="B110" s="35" t="s">
        <v>157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6" x14ac:dyDescent="0.35">
      <c r="A111" s="16"/>
      <c r="B111" s="16" t="s">
        <v>158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6" x14ac:dyDescent="0.35">
      <c r="A112" s="16"/>
      <c r="B112" s="16"/>
      <c r="C112" s="16" t="s">
        <v>159</v>
      </c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24" x14ac:dyDescent="0.35">
      <c r="A113" s="16"/>
      <c r="B113" s="16" t="s">
        <v>160</v>
      </c>
      <c r="C113" s="16">
        <v>5.0000000000000001E-4</v>
      </c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24" x14ac:dyDescent="0.35">
      <c r="A114" s="16"/>
      <c r="B114" s="16" t="s">
        <v>161</v>
      </c>
      <c r="C114" s="16">
        <v>1E-3</v>
      </c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24" x14ac:dyDescent="0.35">
      <c r="A115" s="16"/>
      <c r="B115" s="16" t="s">
        <v>162</v>
      </c>
      <c r="C115" s="16">
        <v>1.5E-3</v>
      </c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24" x14ac:dyDescent="0.3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24" x14ac:dyDescent="0.35">
      <c r="A117" s="16"/>
      <c r="B117" s="35" t="s">
        <v>163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24" x14ac:dyDescent="0.35">
      <c r="A118" s="16"/>
      <c r="B118" s="3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24" x14ac:dyDescent="0.35">
      <c r="A119" s="16"/>
      <c r="B119" s="16" t="s">
        <v>41</v>
      </c>
      <c r="C119" s="231" t="s">
        <v>32</v>
      </c>
      <c r="D119" s="231" t="s">
        <v>21</v>
      </c>
      <c r="E119" s="231"/>
      <c r="F119" s="233" t="s">
        <v>33</v>
      </c>
      <c r="G119" s="16" t="s">
        <v>453</v>
      </c>
      <c r="H119" s="16"/>
      <c r="I119" s="16"/>
      <c r="J119" s="16"/>
      <c r="K119" s="16"/>
      <c r="L119" s="16"/>
      <c r="M119" s="16"/>
      <c r="N119" s="16"/>
    </row>
    <row r="120" spans="1:24" x14ac:dyDescent="0.35">
      <c r="A120" s="16"/>
      <c r="B120" s="16"/>
      <c r="C120" s="231"/>
      <c r="D120" s="231"/>
      <c r="E120" s="231"/>
      <c r="F120" s="233"/>
      <c r="G120" s="16"/>
      <c r="H120" s="16"/>
      <c r="I120" s="16"/>
      <c r="J120" s="16"/>
      <c r="K120" s="16"/>
      <c r="L120" s="16"/>
      <c r="M120" s="16"/>
      <c r="N120" s="16"/>
    </row>
    <row r="121" spans="1:24" x14ac:dyDescent="0.35">
      <c r="A121" s="16"/>
      <c r="B121" t="s">
        <v>27</v>
      </c>
      <c r="C121" s="317">
        <f>S124</f>
        <v>1.6985544412558642E-2</v>
      </c>
      <c r="D121" s="317">
        <f>T124</f>
        <v>3.3971088825117284E-2</v>
      </c>
      <c r="E121" s="234"/>
      <c r="F121" s="235" t="s">
        <v>34</v>
      </c>
      <c r="G121" s="16"/>
      <c r="H121" s="236"/>
      <c r="I121" s="236"/>
      <c r="J121" s="236"/>
      <c r="K121" s="237"/>
      <c r="L121" s="236"/>
      <c r="M121" s="16"/>
      <c r="N121" s="16"/>
    </row>
    <row r="122" spans="1:24" x14ac:dyDescent="0.35">
      <c r="A122" s="16"/>
      <c r="B122" t="s">
        <v>455</v>
      </c>
      <c r="C122" s="317">
        <f t="shared" ref="C122:D125" si="9">S125</f>
        <v>1.6968995079457611E-2</v>
      </c>
      <c r="D122" s="317">
        <f t="shared" si="9"/>
        <v>3.3937990158915222E-2</v>
      </c>
      <c r="E122" s="234"/>
      <c r="F122" s="16"/>
      <c r="G122" s="17">
        <v>2005</v>
      </c>
      <c r="H122" s="17">
        <v>2035</v>
      </c>
      <c r="I122" s="17" t="s">
        <v>35</v>
      </c>
      <c r="J122" s="17">
        <v>2010</v>
      </c>
      <c r="K122" s="17">
        <v>2020</v>
      </c>
      <c r="L122" s="17">
        <v>2030</v>
      </c>
      <c r="M122" s="16"/>
      <c r="N122" s="16"/>
      <c r="O122" s="235" t="s">
        <v>454</v>
      </c>
      <c r="Q122" s="2"/>
    </row>
    <row r="123" spans="1:24" x14ac:dyDescent="0.35">
      <c r="A123" s="16"/>
      <c r="B123" t="s">
        <v>347</v>
      </c>
      <c r="C123" s="317">
        <f t="shared" si="9"/>
        <v>1.5948378262255571E-2</v>
      </c>
      <c r="D123" s="317">
        <f t="shared" si="9"/>
        <v>3.1896756524511141E-2</v>
      </c>
      <c r="E123" s="16"/>
      <c r="F123" s="16"/>
      <c r="G123" s="17"/>
      <c r="H123" s="17"/>
      <c r="I123" s="17"/>
      <c r="J123" s="17"/>
      <c r="K123" s="17"/>
      <c r="L123" s="17"/>
      <c r="M123" s="16"/>
      <c r="N123" s="16"/>
      <c r="P123" t="s">
        <v>457</v>
      </c>
      <c r="Q123" t="s">
        <v>459</v>
      </c>
      <c r="R123" t="s">
        <v>460</v>
      </c>
      <c r="S123" t="s">
        <v>461</v>
      </c>
      <c r="T123" t="s">
        <v>462</v>
      </c>
      <c r="W123" t="s">
        <v>457</v>
      </c>
      <c r="X123" t="s">
        <v>458</v>
      </c>
    </row>
    <row r="124" spans="1:24" x14ac:dyDescent="0.35">
      <c r="A124" s="16"/>
      <c r="B124" t="s">
        <v>456</v>
      </c>
      <c r="C124" s="317">
        <f t="shared" si="9"/>
        <v>1.7027059315920728E-2</v>
      </c>
      <c r="D124" s="317">
        <f t="shared" si="9"/>
        <v>3.4054118631841455E-2</v>
      </c>
      <c r="E124" s="16">
        <f>500/2</f>
        <v>250</v>
      </c>
      <c r="F124" s="7" t="s">
        <v>36</v>
      </c>
      <c r="G124" s="33">
        <v>11422</v>
      </c>
      <c r="H124" s="33">
        <v>13798</v>
      </c>
      <c r="I124" s="33">
        <v>16191</v>
      </c>
      <c r="J124" s="33">
        <v>11818</v>
      </c>
      <c r="K124" s="33">
        <v>12610</v>
      </c>
      <c r="L124" s="33">
        <v>13402</v>
      </c>
      <c r="M124" s="16"/>
      <c r="N124" s="16"/>
      <c r="O124" t="s">
        <v>27</v>
      </c>
      <c r="P124" s="49">
        <v>2821</v>
      </c>
      <c r="Q124" s="313">
        <f>TREND(X125:X126,W125:W126,P124,TRUE)</f>
        <v>9755.7465714285718</v>
      </c>
      <c r="R124" s="315">
        <f>$X$124/Q124</f>
        <v>0.84927722062793198</v>
      </c>
      <c r="S124" s="316">
        <f>R124*0.02</f>
        <v>1.6985544412558642E-2</v>
      </c>
      <c r="T124" s="316">
        <f>R124*0.04</f>
        <v>3.3971088825117284E-2</v>
      </c>
      <c r="V124" s="7" t="s">
        <v>27</v>
      </c>
      <c r="W124">
        <f>E128</f>
        <v>7000</v>
      </c>
      <c r="X124" s="313">
        <f>J128</f>
        <v>8285.3333333333339</v>
      </c>
    </row>
    <row r="125" spans="1:24" x14ac:dyDescent="0.35">
      <c r="A125" s="16"/>
      <c r="B125" t="s">
        <v>30</v>
      </c>
      <c r="C125" s="317">
        <f t="shared" si="9"/>
        <v>1.4021549049472557E-2</v>
      </c>
      <c r="D125" s="317">
        <f t="shared" si="9"/>
        <v>2.8043098098945115E-2</v>
      </c>
      <c r="E125" s="16">
        <f>MEDIAN(500,2000)</f>
        <v>1250</v>
      </c>
      <c r="F125" s="7" t="s">
        <v>37</v>
      </c>
      <c r="G125" s="33">
        <v>10083</v>
      </c>
      <c r="H125" s="33">
        <v>12196</v>
      </c>
      <c r="I125" s="33">
        <v>14359</v>
      </c>
      <c r="J125" s="33">
        <v>10435.166666666666</v>
      </c>
      <c r="K125" s="33">
        <v>11139.5</v>
      </c>
      <c r="L125" s="33">
        <v>11843.833333333334</v>
      </c>
      <c r="M125" s="16"/>
      <c r="N125" s="16"/>
      <c r="O125" t="s">
        <v>455</v>
      </c>
      <c r="P125" s="49">
        <v>2799</v>
      </c>
      <c r="Q125" s="313">
        <f>TREND(X125:X126,W125:W126,P125,TRUE)</f>
        <v>9765.2610476190475</v>
      </c>
      <c r="R125" s="315">
        <f>$X$124/Q125</f>
        <v>0.84844975397288047</v>
      </c>
      <c r="S125" s="316">
        <f t="shared" ref="S125:S128" si="10">R125*0.02</f>
        <v>1.6968995079457611E-2</v>
      </c>
      <c r="T125" s="316">
        <f t="shared" ref="T125:T128" si="11">R125*0.04</f>
        <v>3.3937990158915222E-2</v>
      </c>
      <c r="V125" s="7" t="s">
        <v>28</v>
      </c>
      <c r="W125">
        <f>E127</f>
        <v>3000</v>
      </c>
      <c r="X125" s="313">
        <f>J127</f>
        <v>9678.3333333333339</v>
      </c>
    </row>
    <row r="126" spans="1:24" x14ac:dyDescent="0.35">
      <c r="A126" s="16"/>
      <c r="B126" s="16"/>
      <c r="C126" s="16"/>
      <c r="D126" s="16"/>
      <c r="E126" s="16"/>
      <c r="F126" s="7"/>
      <c r="G126" s="33"/>
      <c r="H126" s="33"/>
      <c r="I126" s="33"/>
      <c r="J126" s="33"/>
      <c r="K126" s="33"/>
      <c r="L126" s="33"/>
      <c r="M126" s="16"/>
      <c r="N126" s="16"/>
      <c r="O126" t="s">
        <v>347</v>
      </c>
      <c r="P126" s="49">
        <v>1354</v>
      </c>
      <c r="Q126" s="313">
        <f>TREND(X125:X126,W125:W126,P126,TRUE)</f>
        <v>10390.189142857142</v>
      </c>
      <c r="R126" s="315">
        <f>$X$124/Q126</f>
        <v>0.79741891311277857</v>
      </c>
      <c r="S126" s="316">
        <f t="shared" si="10"/>
        <v>1.5948378262255571E-2</v>
      </c>
      <c r="T126" s="316">
        <f t="shared" si="11"/>
        <v>3.1896756524511141E-2</v>
      </c>
      <c r="V126" s="7" t="s">
        <v>29</v>
      </c>
      <c r="W126">
        <f>E125</f>
        <v>1250</v>
      </c>
      <c r="X126" s="313">
        <f>J125</f>
        <v>10435.166666666666</v>
      </c>
    </row>
    <row r="127" spans="1:24" x14ac:dyDescent="0.35">
      <c r="A127" s="16"/>
      <c r="B127" s="16"/>
      <c r="C127" s="16"/>
      <c r="D127" s="16"/>
      <c r="E127" s="16">
        <f>MEDIAN(4000,2000)</f>
        <v>3000</v>
      </c>
      <c r="F127" s="7" t="s">
        <v>38</v>
      </c>
      <c r="G127" s="33">
        <v>9345</v>
      </c>
      <c r="H127" s="33">
        <v>11345</v>
      </c>
      <c r="I127" s="33">
        <v>13406</v>
      </c>
      <c r="J127" s="33">
        <v>9678.3333333333339</v>
      </c>
      <c r="K127" s="33">
        <v>10345</v>
      </c>
      <c r="L127" s="33">
        <v>11011.666666666666</v>
      </c>
      <c r="M127" s="16"/>
      <c r="N127" s="16"/>
      <c r="O127" t="s">
        <v>456</v>
      </c>
      <c r="P127" s="49">
        <v>2876</v>
      </c>
      <c r="Q127" s="313">
        <f>TREND(X125:X126,W125:W126,P127,TRUE)</f>
        <v>9731.9603809523815</v>
      </c>
      <c r="R127" s="315">
        <f>$X$124/Q127</f>
        <v>0.85135296579603637</v>
      </c>
      <c r="S127" s="316">
        <f t="shared" si="10"/>
        <v>1.7027059315920728E-2</v>
      </c>
      <c r="T127" s="316">
        <f t="shared" si="11"/>
        <v>3.4054118631841455E-2</v>
      </c>
      <c r="V127" s="7" t="s">
        <v>111</v>
      </c>
      <c r="W127">
        <f>E124</f>
        <v>250</v>
      </c>
      <c r="X127" s="313">
        <f>J124</f>
        <v>11818</v>
      </c>
    </row>
    <row r="128" spans="1:24" x14ac:dyDescent="0.35">
      <c r="A128" s="16"/>
      <c r="B128" s="16"/>
      <c r="C128" s="16"/>
      <c r="D128" s="16"/>
      <c r="E128" s="16">
        <f>MEDIAN(4000,10000)</f>
        <v>7000</v>
      </c>
      <c r="F128" s="7" t="s">
        <v>39</v>
      </c>
      <c r="G128" s="33">
        <v>7986</v>
      </c>
      <c r="H128" s="33">
        <v>9782</v>
      </c>
      <c r="I128" s="33">
        <v>11651</v>
      </c>
      <c r="J128" s="33">
        <v>8285.3333333333339</v>
      </c>
      <c r="K128" s="33">
        <v>8884</v>
      </c>
      <c r="L128" s="33">
        <v>9482.6666666666661</v>
      </c>
      <c r="M128" s="16"/>
      <c r="N128" s="16"/>
      <c r="O128" t="s">
        <v>30</v>
      </c>
      <c r="P128" s="49">
        <v>121</v>
      </c>
      <c r="Q128" s="313">
        <f>X127</f>
        <v>11818</v>
      </c>
      <c r="R128" s="315">
        <f>$X$124/Q128</f>
        <v>0.70107745247362785</v>
      </c>
      <c r="S128" s="316">
        <f t="shared" si="10"/>
        <v>1.4021549049472557E-2</v>
      </c>
      <c r="T128" s="316">
        <f t="shared" si="11"/>
        <v>2.8043098098945115E-2</v>
      </c>
    </row>
    <row r="129" spans="1:21" x14ac:dyDescent="0.35">
      <c r="A129" s="16"/>
      <c r="B129" s="16"/>
      <c r="C129" s="16"/>
      <c r="D129" s="16"/>
      <c r="E129" s="16"/>
      <c r="F129" s="7" t="s">
        <v>40</v>
      </c>
      <c r="G129" s="33">
        <v>4437</v>
      </c>
      <c r="H129" s="33">
        <v>5651</v>
      </c>
      <c r="I129" s="33">
        <v>5940</v>
      </c>
      <c r="J129" s="33">
        <v>4639.333333333333</v>
      </c>
      <c r="K129" s="33">
        <v>5044</v>
      </c>
      <c r="L129" s="33">
        <v>5448.666666666667</v>
      </c>
      <c r="M129" s="16"/>
      <c r="N129" s="16"/>
      <c r="U129" s="314"/>
    </row>
    <row r="130" spans="1:21" x14ac:dyDescent="0.35">
      <c r="U130" s="315"/>
    </row>
    <row r="133" spans="1:21" ht="15.5" x14ac:dyDescent="0.35">
      <c r="A133" s="244" t="s">
        <v>222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</row>
    <row r="135" spans="1:21" x14ac:dyDescent="0.35">
      <c r="A135" s="16" t="s">
        <v>21</v>
      </c>
      <c r="B135" s="16"/>
      <c r="C135" s="16"/>
      <c r="D135" s="469" t="s">
        <v>78</v>
      </c>
      <c r="E135" s="469"/>
      <c r="F135" s="469"/>
      <c r="G135" s="469"/>
      <c r="H135" s="469"/>
      <c r="I135" s="469"/>
      <c r="J135" s="469"/>
      <c r="K135" s="16"/>
      <c r="L135" s="16"/>
      <c r="M135" s="16"/>
      <c r="N135" s="16" t="s">
        <v>73</v>
      </c>
      <c r="O135" s="16"/>
      <c r="P135" s="16">
        <v>2011</v>
      </c>
      <c r="Q135" s="16"/>
    </row>
    <row r="136" spans="1:21" x14ac:dyDescent="0.35">
      <c r="A136" s="16" t="s">
        <v>32</v>
      </c>
      <c r="B136" s="16"/>
      <c r="C136" s="16"/>
      <c r="D136" s="57" t="s">
        <v>79</v>
      </c>
      <c r="E136" s="57" t="s">
        <v>80</v>
      </c>
      <c r="F136" s="57" t="s">
        <v>81</v>
      </c>
      <c r="G136" s="57" t="s">
        <v>82</v>
      </c>
      <c r="H136" s="57" t="s">
        <v>83</v>
      </c>
      <c r="I136" s="57"/>
      <c r="J136" s="16"/>
      <c r="K136" s="16"/>
      <c r="L136" s="16"/>
      <c r="M136" s="16"/>
      <c r="N136" s="16" t="s">
        <v>74</v>
      </c>
      <c r="O136" s="16"/>
      <c r="P136" s="16">
        <v>2012</v>
      </c>
      <c r="Q136" s="16"/>
    </row>
    <row r="137" spans="1:21" ht="29" x14ac:dyDescent="0.35">
      <c r="A137" s="16"/>
      <c r="B137" s="470"/>
      <c r="C137" s="16" t="s">
        <v>73</v>
      </c>
      <c r="D137" s="16">
        <v>0.21</v>
      </c>
      <c r="E137" s="16">
        <v>0.33</v>
      </c>
      <c r="F137" s="16">
        <v>0.26</v>
      </c>
      <c r="G137" s="57">
        <v>0.41</v>
      </c>
      <c r="H137" s="57">
        <v>0.05</v>
      </c>
      <c r="I137" s="57"/>
      <c r="J137" s="16" t="s">
        <v>73</v>
      </c>
      <c r="K137" s="57" t="s">
        <v>72</v>
      </c>
      <c r="L137" s="16" t="s">
        <v>28</v>
      </c>
      <c r="M137" s="16"/>
      <c r="N137" s="16" t="s">
        <v>29</v>
      </c>
      <c r="O137" s="16"/>
      <c r="P137" s="16">
        <v>2013</v>
      </c>
      <c r="Q137" s="16"/>
    </row>
    <row r="138" spans="1:21" x14ac:dyDescent="0.35">
      <c r="A138" s="16"/>
      <c r="B138" s="470"/>
      <c r="C138" s="16" t="s">
        <v>74</v>
      </c>
      <c r="D138" s="16">
        <v>0.4</v>
      </c>
      <c r="E138" s="16">
        <v>0.28999999999999998</v>
      </c>
      <c r="F138" s="16">
        <v>0.5</v>
      </c>
      <c r="G138" s="16">
        <v>0.48</v>
      </c>
      <c r="H138" s="57">
        <v>0.81</v>
      </c>
      <c r="I138" s="57"/>
      <c r="J138" s="16"/>
      <c r="K138" s="57" t="s">
        <v>73</v>
      </c>
      <c r="L138" s="16" t="s">
        <v>28</v>
      </c>
      <c r="M138" s="16"/>
      <c r="N138" s="16" t="s">
        <v>30</v>
      </c>
      <c r="O138" s="16"/>
      <c r="P138" s="16">
        <v>2014</v>
      </c>
      <c r="Q138" s="16"/>
    </row>
    <row r="139" spans="1:21" ht="29" x14ac:dyDescent="0.35">
      <c r="A139" s="16"/>
      <c r="B139" s="470"/>
      <c r="C139" s="16" t="s">
        <v>29</v>
      </c>
      <c r="D139" s="16">
        <v>0.3</v>
      </c>
      <c r="E139" s="16">
        <v>0.44</v>
      </c>
      <c r="F139" s="16">
        <v>0.51</v>
      </c>
      <c r="G139" s="241">
        <v>0.49</v>
      </c>
      <c r="H139" s="16">
        <v>1.1599999999999999</v>
      </c>
      <c r="I139" s="16"/>
      <c r="J139" s="16" t="s">
        <v>74</v>
      </c>
      <c r="K139" s="57" t="s">
        <v>74</v>
      </c>
      <c r="L139" s="16" t="s">
        <v>88</v>
      </c>
      <c r="M139" s="16"/>
      <c r="N139" s="16"/>
      <c r="O139" s="16"/>
      <c r="P139" s="16">
        <v>2015</v>
      </c>
      <c r="Q139" s="16"/>
    </row>
    <row r="140" spans="1:21" x14ac:dyDescent="0.35">
      <c r="A140" s="16"/>
      <c r="B140" s="470"/>
      <c r="C140" s="16" t="s">
        <v>30</v>
      </c>
      <c r="D140" s="16">
        <v>1.74</v>
      </c>
      <c r="E140" s="16">
        <v>1.08</v>
      </c>
      <c r="F140" s="16">
        <v>0.66</v>
      </c>
      <c r="G140" s="16">
        <v>1.08</v>
      </c>
      <c r="H140" s="241">
        <v>3.77</v>
      </c>
      <c r="I140" s="241"/>
      <c r="J140" s="16"/>
      <c r="K140" s="57" t="s">
        <v>76</v>
      </c>
      <c r="L140" s="16" t="s">
        <v>88</v>
      </c>
      <c r="M140" s="16"/>
      <c r="N140" s="16"/>
      <c r="O140" s="16"/>
      <c r="P140" s="16">
        <v>2016</v>
      </c>
      <c r="Q140" s="16"/>
    </row>
    <row r="141" spans="1:21" x14ac:dyDescent="0.35">
      <c r="A141" s="16"/>
      <c r="B141" s="470"/>
      <c r="C141" s="16"/>
      <c r="D141" s="16"/>
      <c r="E141" s="16"/>
      <c r="F141" s="16"/>
      <c r="G141" s="16"/>
      <c r="H141" s="241"/>
      <c r="I141" s="241"/>
      <c r="J141" s="16" t="s">
        <v>29</v>
      </c>
      <c r="K141" s="57" t="s">
        <v>29</v>
      </c>
      <c r="L141" s="16" t="s">
        <v>87</v>
      </c>
      <c r="M141" s="16"/>
      <c r="N141" s="16"/>
      <c r="O141" s="16"/>
      <c r="P141" s="16">
        <v>2017</v>
      </c>
      <c r="Q141" s="16"/>
    </row>
    <row r="142" spans="1:21" x14ac:dyDescent="0.35">
      <c r="A142" s="16" t="s">
        <v>125</v>
      </c>
      <c r="B142" s="16" t="s">
        <v>4</v>
      </c>
      <c r="C142" s="16"/>
      <c r="D142" s="16"/>
      <c r="E142" s="16"/>
      <c r="F142" s="16"/>
      <c r="G142" s="16"/>
      <c r="H142" s="241"/>
      <c r="I142" s="241"/>
      <c r="J142" s="16" t="s">
        <v>30</v>
      </c>
      <c r="K142" s="57" t="s">
        <v>75</v>
      </c>
      <c r="L142" s="16" t="s">
        <v>85</v>
      </c>
      <c r="M142" s="16"/>
      <c r="N142" s="16"/>
      <c r="O142" s="16"/>
      <c r="P142" s="16">
        <v>2018</v>
      </c>
      <c r="Q142" s="16"/>
    </row>
    <row r="143" spans="1:21" x14ac:dyDescent="0.35">
      <c r="A143" s="242" t="s">
        <v>123</v>
      </c>
      <c r="B143" s="16" t="s">
        <v>5</v>
      </c>
      <c r="C143" s="16"/>
      <c r="D143" s="16"/>
      <c r="E143" s="16"/>
      <c r="F143" s="16"/>
      <c r="G143" s="16"/>
      <c r="H143" s="241"/>
      <c r="I143" s="241"/>
      <c r="J143" s="16"/>
      <c r="K143" s="57" t="s">
        <v>30</v>
      </c>
      <c r="L143" s="16" t="s">
        <v>85</v>
      </c>
      <c r="M143" s="16"/>
      <c r="N143" s="16"/>
      <c r="O143" s="16"/>
      <c r="P143" s="16">
        <v>2019</v>
      </c>
      <c r="Q143" s="16"/>
    </row>
    <row r="144" spans="1:21" x14ac:dyDescent="0.35">
      <c r="A144" s="242" t="s">
        <v>124</v>
      </c>
      <c r="B144" s="16" t="s">
        <v>6</v>
      </c>
      <c r="C144" s="16"/>
      <c r="D144" s="16"/>
      <c r="E144" s="16"/>
      <c r="F144" s="16"/>
      <c r="G144" s="16"/>
      <c r="H144" s="241"/>
      <c r="I144" s="241"/>
      <c r="J144" s="16"/>
      <c r="K144" s="16"/>
      <c r="L144" s="16"/>
      <c r="M144" s="16"/>
      <c r="N144" s="16"/>
      <c r="O144" s="16"/>
      <c r="P144" s="16"/>
      <c r="Q144" s="16"/>
    </row>
    <row r="145" spans="1:17" x14ac:dyDescent="0.35">
      <c r="A145" s="16" t="s">
        <v>164</v>
      </c>
      <c r="B145" s="16" t="s">
        <v>7</v>
      </c>
      <c r="C145" s="16"/>
      <c r="D145" s="16"/>
      <c r="E145" s="16"/>
      <c r="F145" s="16"/>
      <c r="G145" s="16"/>
      <c r="H145" s="241"/>
      <c r="I145" s="241"/>
      <c r="J145" s="16"/>
      <c r="K145" s="16"/>
      <c r="L145" s="16"/>
      <c r="M145" s="16"/>
      <c r="N145" s="16"/>
      <c r="O145" s="16"/>
      <c r="P145" s="16"/>
      <c r="Q145" s="16"/>
    </row>
    <row r="146" spans="1:17" x14ac:dyDescent="0.35">
      <c r="A146" s="16" t="s">
        <v>165</v>
      </c>
      <c r="B146" s="16" t="s">
        <v>8</v>
      </c>
      <c r="C146" s="16"/>
      <c r="D146" s="16"/>
      <c r="E146" s="16"/>
      <c r="F146" s="16"/>
      <c r="G146" s="16"/>
      <c r="H146" s="241"/>
      <c r="I146" s="241"/>
      <c r="J146" s="16"/>
      <c r="K146" s="16"/>
      <c r="L146" s="16"/>
      <c r="M146" s="16"/>
      <c r="N146" s="16"/>
      <c r="O146" s="16"/>
      <c r="P146" s="16"/>
      <c r="Q146" s="16"/>
    </row>
    <row r="147" spans="1:17" x14ac:dyDescent="0.35">
      <c r="A147" s="16" t="s">
        <v>166</v>
      </c>
      <c r="B147" s="16" t="s">
        <v>174</v>
      </c>
      <c r="C147" s="16"/>
      <c r="D147" s="231"/>
      <c r="E147" s="16"/>
      <c r="F147" s="16"/>
      <c r="G147" s="16"/>
      <c r="H147" s="241"/>
      <c r="I147" s="241"/>
      <c r="J147" s="16"/>
      <c r="K147" s="16"/>
      <c r="L147" s="16"/>
      <c r="M147" s="16"/>
      <c r="N147" s="16"/>
      <c r="O147" s="16"/>
      <c r="P147" s="16"/>
      <c r="Q147" s="16"/>
    </row>
    <row r="148" spans="1:17" x14ac:dyDescent="0.35">
      <c r="A148" s="16"/>
      <c r="B148" s="16"/>
    </row>
    <row r="149" spans="1:17" x14ac:dyDescent="0.35">
      <c r="A149" s="16" t="s">
        <v>414</v>
      </c>
    </row>
    <row r="150" spans="1:17" x14ac:dyDescent="0.35">
      <c r="A150" s="16" t="s">
        <v>415</v>
      </c>
    </row>
    <row r="167" spans="1:16" ht="15.5" x14ac:dyDescent="0.35">
      <c r="A167" s="244" t="s">
        <v>275</v>
      </c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</row>
    <row r="169" spans="1:16" x14ac:dyDescent="0.35">
      <c r="A169" s="16" t="s">
        <v>21</v>
      </c>
    </row>
    <row r="170" spans="1:16" x14ac:dyDescent="0.35">
      <c r="A170" s="16" t="s">
        <v>32</v>
      </c>
    </row>
  </sheetData>
  <mergeCells count="3">
    <mergeCell ref="D135:J135"/>
    <mergeCell ref="B137:B141"/>
    <mergeCell ref="A43:A44"/>
  </mergeCells>
  <conditionalFormatting sqref="D34:I37">
    <cfRule type="expression" priority="2">
      <formula>#REF!=OR(#REF!,#REF!)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41"/>
  <sheetViews>
    <sheetView showGridLines="0" zoomScale="80" zoomScaleNormal="80" workbookViewId="0">
      <selection activeCell="G33" sqref="G33"/>
    </sheetView>
  </sheetViews>
  <sheetFormatPr defaultRowHeight="14.5" x14ac:dyDescent="0.35"/>
  <cols>
    <col min="1" max="1" width="68.453125" bestFit="1" customWidth="1"/>
    <col min="2" max="2" width="20.453125" style="4" customWidth="1"/>
    <col min="3" max="3" width="14.453125" customWidth="1"/>
    <col min="4" max="4" width="150.453125" customWidth="1"/>
  </cols>
  <sheetData>
    <row r="1" spans="1:4" ht="28.5" x14ac:dyDescent="0.35">
      <c r="A1" s="77" t="s">
        <v>187</v>
      </c>
      <c r="B1" s="174"/>
      <c r="C1" s="73"/>
      <c r="D1" s="74"/>
    </row>
    <row r="2" spans="1:4" x14ac:dyDescent="0.35">
      <c r="A2" s="75" t="s">
        <v>188</v>
      </c>
      <c r="B2" s="175" t="s">
        <v>189</v>
      </c>
      <c r="C2" s="76" t="s">
        <v>190</v>
      </c>
      <c r="D2" s="72" t="s">
        <v>191</v>
      </c>
    </row>
    <row r="3" spans="1:4" x14ac:dyDescent="0.35">
      <c r="A3" s="473" t="s">
        <v>237</v>
      </c>
      <c r="B3" s="474"/>
      <c r="C3" s="474"/>
      <c r="D3" s="475"/>
    </row>
    <row r="4" spans="1:4" ht="29" x14ac:dyDescent="0.35">
      <c r="A4" s="80" t="s">
        <v>238</v>
      </c>
      <c r="B4" s="99" t="s">
        <v>240</v>
      </c>
      <c r="C4" s="80"/>
      <c r="D4" s="179" t="s">
        <v>241</v>
      </c>
    </row>
    <row r="5" spans="1:4" x14ac:dyDescent="0.35">
      <c r="A5" s="473" t="s">
        <v>178</v>
      </c>
      <c r="B5" s="474"/>
      <c r="C5" s="474"/>
      <c r="D5" s="475"/>
    </row>
    <row r="6" spans="1:4" x14ac:dyDescent="0.35">
      <c r="A6" s="80" t="s">
        <v>156</v>
      </c>
      <c r="B6" s="99">
        <v>4</v>
      </c>
      <c r="C6" s="80"/>
      <c r="D6" s="79" t="s">
        <v>175</v>
      </c>
    </row>
    <row r="7" spans="1:4" x14ac:dyDescent="0.35">
      <c r="A7" s="80" t="s">
        <v>49</v>
      </c>
      <c r="B7" s="99">
        <v>250</v>
      </c>
      <c r="C7" s="80"/>
      <c r="D7" s="79" t="s">
        <v>50</v>
      </c>
    </row>
    <row r="8" spans="1:4" x14ac:dyDescent="0.35">
      <c r="A8" s="80" t="s">
        <v>207</v>
      </c>
      <c r="B8" s="99" t="s">
        <v>206</v>
      </c>
      <c r="C8" s="80" t="s">
        <v>208</v>
      </c>
      <c r="D8" s="79" t="s">
        <v>139</v>
      </c>
    </row>
    <row r="9" spans="1:4" x14ac:dyDescent="0.35">
      <c r="A9" s="473" t="s">
        <v>503</v>
      </c>
      <c r="B9" s="474"/>
      <c r="C9" s="474"/>
      <c r="D9" s="475"/>
    </row>
    <row r="10" spans="1:4" x14ac:dyDescent="0.35">
      <c r="A10" s="403" t="s">
        <v>48</v>
      </c>
      <c r="B10" s="99">
        <v>10</v>
      </c>
      <c r="C10" s="80"/>
      <c r="D10" s="79" t="s">
        <v>504</v>
      </c>
    </row>
    <row r="11" spans="1:4" x14ac:dyDescent="0.35">
      <c r="A11" s="403" t="s">
        <v>49</v>
      </c>
      <c r="B11" s="99">
        <v>250</v>
      </c>
      <c r="C11" s="80"/>
      <c r="D11" s="79" t="s">
        <v>49</v>
      </c>
    </row>
    <row r="12" spans="1:4" x14ac:dyDescent="0.35">
      <c r="A12" s="473" t="s">
        <v>211</v>
      </c>
      <c r="B12" s="474"/>
      <c r="C12" s="474"/>
      <c r="D12" s="475"/>
    </row>
    <row r="13" spans="1:4" x14ac:dyDescent="0.35">
      <c r="A13" s="80" t="s">
        <v>112</v>
      </c>
      <c r="B13" s="99"/>
      <c r="C13" s="80"/>
      <c r="D13" s="141" t="s">
        <v>136</v>
      </c>
    </row>
    <row r="14" spans="1:4" x14ac:dyDescent="0.35">
      <c r="A14" s="80" t="s">
        <v>216</v>
      </c>
      <c r="B14" s="149">
        <v>1.8</v>
      </c>
      <c r="C14" s="80" t="s">
        <v>210</v>
      </c>
      <c r="D14" s="141" t="s">
        <v>217</v>
      </c>
    </row>
    <row r="15" spans="1:4" x14ac:dyDescent="0.35">
      <c r="A15" s="80" t="s">
        <v>215</v>
      </c>
      <c r="B15" s="176">
        <v>0.98</v>
      </c>
      <c r="C15" s="80" t="s">
        <v>210</v>
      </c>
      <c r="D15" s="79" t="s">
        <v>220</v>
      </c>
    </row>
    <row r="16" spans="1:4" x14ac:dyDescent="0.35">
      <c r="A16" s="80" t="s">
        <v>214</v>
      </c>
      <c r="B16" s="149" t="s">
        <v>213</v>
      </c>
      <c r="C16" s="80" t="s">
        <v>210</v>
      </c>
      <c r="D16" s="79" t="s">
        <v>212</v>
      </c>
    </row>
    <row r="17" spans="1:4" x14ac:dyDescent="0.35">
      <c r="A17" s="80" t="s">
        <v>31</v>
      </c>
      <c r="B17" s="99" t="s">
        <v>197</v>
      </c>
      <c r="C17" s="80"/>
      <c r="D17" s="79" t="s">
        <v>116</v>
      </c>
    </row>
    <row r="18" spans="1:4" x14ac:dyDescent="0.35">
      <c r="A18" s="80" t="s">
        <v>24</v>
      </c>
      <c r="B18" s="176">
        <v>0.91</v>
      </c>
      <c r="C18" s="80"/>
      <c r="D18" s="79" t="s">
        <v>218</v>
      </c>
    </row>
    <row r="19" spans="1:4" x14ac:dyDescent="0.35">
      <c r="A19" s="80" t="s">
        <v>42</v>
      </c>
      <c r="B19" s="144">
        <v>0.04</v>
      </c>
      <c r="C19" s="80"/>
      <c r="D19" s="79" t="s">
        <v>77</v>
      </c>
    </row>
    <row r="20" spans="1:4" x14ac:dyDescent="0.35">
      <c r="A20" s="80" t="s">
        <v>105</v>
      </c>
      <c r="B20" s="99">
        <v>200</v>
      </c>
      <c r="C20" s="80"/>
      <c r="D20" s="79" t="s">
        <v>405</v>
      </c>
    </row>
    <row r="21" spans="1:4" x14ac:dyDescent="0.35">
      <c r="A21" s="80" t="s">
        <v>57</v>
      </c>
      <c r="B21" s="144">
        <v>0.1</v>
      </c>
      <c r="C21" s="80"/>
      <c r="D21" s="79" t="s">
        <v>113</v>
      </c>
    </row>
    <row r="22" spans="1:4" x14ac:dyDescent="0.35">
      <c r="A22" s="80" t="s">
        <v>120</v>
      </c>
      <c r="B22" s="176">
        <v>0.71</v>
      </c>
      <c r="C22" s="80"/>
      <c r="D22" s="79" t="s">
        <v>219</v>
      </c>
    </row>
    <row r="23" spans="1:4" x14ac:dyDescent="0.35">
      <c r="A23" s="80" t="s">
        <v>121</v>
      </c>
      <c r="B23" s="176">
        <v>2.1</v>
      </c>
      <c r="C23" s="80"/>
      <c r="D23" s="79" t="s">
        <v>219</v>
      </c>
    </row>
    <row r="24" spans="1:4" x14ac:dyDescent="0.35">
      <c r="A24" s="473" t="s">
        <v>228</v>
      </c>
      <c r="B24" s="474"/>
      <c r="C24" s="474"/>
      <c r="D24" s="475"/>
    </row>
    <row r="25" spans="1:4" x14ac:dyDescent="0.35">
      <c r="A25" s="80" t="s">
        <v>186</v>
      </c>
      <c r="B25" s="149" t="s">
        <v>197</v>
      </c>
      <c r="C25" s="80"/>
      <c r="D25" s="79" t="s">
        <v>201</v>
      </c>
    </row>
    <row r="26" spans="1:4" x14ac:dyDescent="0.35">
      <c r="A26" s="80" t="s">
        <v>56</v>
      </c>
      <c r="B26" s="149" t="s">
        <v>197</v>
      </c>
      <c r="C26" s="80"/>
      <c r="D26" s="79" t="s">
        <v>232</v>
      </c>
    </row>
    <row r="27" spans="1:4" x14ac:dyDescent="0.35">
      <c r="A27" s="80" t="s">
        <v>112</v>
      </c>
      <c r="B27" s="149" t="s">
        <v>197</v>
      </c>
      <c r="C27" s="80"/>
      <c r="D27" s="79" t="s">
        <v>136</v>
      </c>
    </row>
    <row r="28" spans="1:4" x14ac:dyDescent="0.35">
      <c r="A28" s="80" t="s">
        <v>216</v>
      </c>
      <c r="B28" s="149">
        <v>1.8</v>
      </c>
      <c r="C28" s="80" t="s">
        <v>210</v>
      </c>
      <c r="D28" s="79" t="s">
        <v>115</v>
      </c>
    </row>
    <row r="29" spans="1:4" x14ac:dyDescent="0.35">
      <c r="A29" s="80" t="s">
        <v>215</v>
      </c>
      <c r="B29" s="149">
        <v>1</v>
      </c>
      <c r="C29" s="80" t="s">
        <v>210</v>
      </c>
      <c r="D29" s="79" t="s">
        <v>114</v>
      </c>
    </row>
    <row r="30" spans="1:4" x14ac:dyDescent="0.35">
      <c r="A30" s="80" t="s">
        <v>105</v>
      </c>
      <c r="B30" s="99">
        <v>200</v>
      </c>
      <c r="C30" s="80"/>
      <c r="D30" s="79" t="s">
        <v>405</v>
      </c>
    </row>
    <row r="31" spans="1:4" x14ac:dyDescent="0.35">
      <c r="A31" s="80" t="s">
        <v>120</v>
      </c>
      <c r="B31" s="176">
        <v>0.71</v>
      </c>
      <c r="C31" s="80"/>
      <c r="D31" s="79" t="s">
        <v>227</v>
      </c>
    </row>
    <row r="32" spans="1:4" x14ac:dyDescent="0.35">
      <c r="A32" s="80" t="s">
        <v>121</v>
      </c>
      <c r="B32" s="176">
        <v>2.1</v>
      </c>
      <c r="C32" s="80"/>
      <c r="D32" s="79" t="s">
        <v>227</v>
      </c>
    </row>
    <row r="33" spans="1:4" x14ac:dyDescent="0.35">
      <c r="A33" s="80" t="s">
        <v>229</v>
      </c>
      <c r="B33" s="144">
        <v>0.11</v>
      </c>
      <c r="C33" s="80"/>
      <c r="D33" s="185" t="s">
        <v>231</v>
      </c>
    </row>
    <row r="34" spans="1:4" x14ac:dyDescent="0.35">
      <c r="A34" s="187" t="s">
        <v>230</v>
      </c>
      <c r="B34" s="144">
        <v>0.08</v>
      </c>
      <c r="C34" s="80"/>
      <c r="D34" s="79" t="s">
        <v>231</v>
      </c>
    </row>
    <row r="35" spans="1:4" x14ac:dyDescent="0.35">
      <c r="A35" s="473" t="s">
        <v>320</v>
      </c>
      <c r="B35" s="474"/>
      <c r="C35" s="474"/>
      <c r="D35" s="475"/>
    </row>
    <row r="36" spans="1:4" x14ac:dyDescent="0.35">
      <c r="A36" s="397" t="s">
        <v>327</v>
      </c>
      <c r="B36" s="398">
        <v>1.2</v>
      </c>
      <c r="C36" s="397"/>
      <c r="D36" s="399" t="s">
        <v>367</v>
      </c>
    </row>
    <row r="37" spans="1:4" x14ac:dyDescent="0.35">
      <c r="A37" s="80" t="s">
        <v>105</v>
      </c>
      <c r="B37" s="99">
        <v>250</v>
      </c>
      <c r="C37" s="80"/>
      <c r="D37" s="79" t="s">
        <v>108</v>
      </c>
    </row>
    <row r="38" spans="1:4" x14ac:dyDescent="0.35">
      <c r="A38" s="80" t="s">
        <v>330</v>
      </c>
      <c r="B38" s="149" t="s">
        <v>223</v>
      </c>
      <c r="C38" s="80"/>
      <c r="D38" s="79" t="s">
        <v>368</v>
      </c>
    </row>
    <row r="39" spans="1:4" x14ac:dyDescent="0.35">
      <c r="A39" s="80" t="s">
        <v>328</v>
      </c>
      <c r="B39" s="176">
        <v>0.83</v>
      </c>
      <c r="C39" s="80"/>
      <c r="D39" s="79" t="s">
        <v>369</v>
      </c>
    </row>
    <row r="40" spans="1:4" x14ac:dyDescent="0.35">
      <c r="A40" s="80" t="s">
        <v>329</v>
      </c>
      <c r="B40" s="266">
        <v>0.9</v>
      </c>
      <c r="C40" s="80"/>
      <c r="D40" s="79" t="s">
        <v>373</v>
      </c>
    </row>
    <row r="41" spans="1:4" x14ac:dyDescent="0.35">
      <c r="A41" s="400" t="s">
        <v>370</v>
      </c>
      <c r="B41" s="401">
        <v>5</v>
      </c>
      <c r="C41" s="400" t="s">
        <v>210</v>
      </c>
      <c r="D41" s="402" t="s">
        <v>369</v>
      </c>
    </row>
  </sheetData>
  <mergeCells count="6">
    <mergeCell ref="A35:D35"/>
    <mergeCell ref="A3:D3"/>
    <mergeCell ref="A24:D24"/>
    <mergeCell ref="A12:D12"/>
    <mergeCell ref="A9:D9"/>
    <mergeCell ref="A5:D5"/>
  </mergeCells>
  <hyperlinks>
    <hyperlink ref="D33" r:id="rId1" xr:uid="{00000000-0004-0000-0E00-000004000000}"/>
    <hyperlink ref="D38" r:id="rId2" display="http://www.epa.gov/otaq/stateresources/policy/420r11025.pdf" xr:uid="{00000000-0004-0000-0E00-000005000000}"/>
  </hyperlinks>
  <pageMargins left="0.7" right="0.7" top="0.75" bottom="0.75" header="0.3" footer="0.3"/>
  <pageSetup paperSize="17" scale="4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A118"/>
  <sheetViews>
    <sheetView showGridLines="0" zoomScale="85" zoomScaleNormal="85" workbookViewId="0">
      <selection activeCell="F7" sqref="F7"/>
    </sheetView>
  </sheetViews>
  <sheetFormatPr defaultColWidth="9.08984375" defaultRowHeight="14.5" x14ac:dyDescent="0.35"/>
  <cols>
    <col min="1" max="1" width="1.08984375" style="78" customWidth="1"/>
    <col min="2" max="2" width="4.08984375" style="78" customWidth="1"/>
    <col min="3" max="3" width="92.54296875" style="78" customWidth="1"/>
    <col min="4" max="5" width="16.54296875" style="78" hidden="1" customWidth="1"/>
    <col min="6" max="6" width="27.54296875" style="78" customWidth="1"/>
    <col min="7" max="7" width="19.453125" style="78" hidden="1" customWidth="1"/>
    <col min="8" max="8" width="20.90625" style="78" hidden="1" customWidth="1"/>
    <col min="9" max="9" width="26" style="78" bestFit="1" customWidth="1"/>
    <col min="10" max="10" width="6.54296875" style="78" customWidth="1"/>
    <col min="11" max="11" width="2.453125" style="78" customWidth="1"/>
    <col min="12" max="16384" width="9.08984375" style="78"/>
  </cols>
  <sheetData>
    <row r="1" spans="1:27" ht="12.75" customHeight="1" x14ac:dyDescent="0.3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27" ht="12.75" customHeight="1" x14ac:dyDescent="0.35">
      <c r="A2" s="106"/>
      <c r="B2" s="118"/>
      <c r="C2" s="118"/>
      <c r="D2" s="118"/>
      <c r="E2" s="118"/>
      <c r="F2" s="118"/>
      <c r="G2"/>
      <c r="H2"/>
      <c r="I2"/>
      <c r="J2"/>
      <c r="K2" s="106"/>
    </row>
    <row r="3" spans="1:27" ht="28.5" x14ac:dyDescent="0.35">
      <c r="A3" s="106"/>
      <c r="B3"/>
      <c r="C3" s="441" t="s">
        <v>178</v>
      </c>
      <c r="D3" s="441"/>
      <c r="E3" s="441"/>
      <c r="F3" s="441"/>
      <c r="G3" s="441"/>
      <c r="H3" s="441"/>
      <c r="I3" s="441"/>
      <c r="J3" s="123"/>
      <c r="K3" s="106"/>
      <c r="AA3" s="94"/>
    </row>
    <row r="4" spans="1:27" ht="9.75" customHeight="1" x14ac:dyDescent="0.35">
      <c r="A4" s="106"/>
      <c r="B4"/>
      <c r="C4" s="91"/>
      <c r="D4" s="102"/>
      <c r="E4" s="134"/>
      <c r="F4" s="134"/>
      <c r="G4" s="134"/>
      <c r="H4" s="134"/>
      <c r="I4" s="134"/>
      <c r="J4" s="123"/>
      <c r="K4" s="106"/>
      <c r="AA4" s="94"/>
    </row>
    <row r="5" spans="1:27" ht="15.5" x14ac:dyDescent="0.35">
      <c r="A5" s="106"/>
      <c r="B5"/>
      <c r="C5" s="104" t="s">
        <v>196</v>
      </c>
      <c r="D5" s="135"/>
      <c r="E5" s="135"/>
      <c r="F5" s="135"/>
      <c r="G5" s="135"/>
      <c r="H5" s="135"/>
      <c r="I5" s="135"/>
      <c r="J5" s="16"/>
      <c r="K5" s="106"/>
      <c r="N5" s="109"/>
      <c r="O5" s="109"/>
      <c r="P5" s="109"/>
      <c r="Q5" s="109"/>
    </row>
    <row r="6" spans="1:27" ht="43.5" x14ac:dyDescent="0.35">
      <c r="A6" s="106"/>
      <c r="B6"/>
      <c r="C6" s="128" t="s">
        <v>199</v>
      </c>
      <c r="D6"/>
      <c r="E6"/>
      <c r="F6" s="434" t="s">
        <v>509</v>
      </c>
      <c r="G6" s="128"/>
      <c r="H6" s="128"/>
      <c r="I6" s="434" t="s">
        <v>510</v>
      </c>
      <c r="J6"/>
      <c r="K6" s="106"/>
      <c r="AA6" s="94"/>
    </row>
    <row r="7" spans="1:27" x14ac:dyDescent="0.35">
      <c r="A7" s="106"/>
      <c r="B7"/>
      <c r="C7" s="85" t="s">
        <v>55</v>
      </c>
      <c r="D7" s="45">
        <v>2025</v>
      </c>
      <c r="E7" s="45">
        <v>2035</v>
      </c>
      <c r="F7" s="45">
        <v>2030</v>
      </c>
      <c r="G7" s="45">
        <v>2025</v>
      </c>
      <c r="H7" s="45">
        <v>2035</v>
      </c>
      <c r="I7" s="45">
        <v>2030</v>
      </c>
      <c r="J7"/>
      <c r="K7" s="106"/>
      <c r="AA7" s="94"/>
    </row>
    <row r="8" spans="1:27" x14ac:dyDescent="0.35">
      <c r="A8" s="106"/>
      <c r="B8"/>
      <c r="C8" s="85" t="s">
        <v>483</v>
      </c>
      <c r="D8" s="45"/>
      <c r="E8" s="45"/>
      <c r="F8" s="45">
        <v>4</v>
      </c>
      <c r="G8" s="45"/>
      <c r="H8" s="45"/>
      <c r="I8" s="45">
        <v>4</v>
      </c>
      <c r="J8" s="16"/>
      <c r="K8" s="106"/>
      <c r="AA8" s="94"/>
    </row>
    <row r="9" spans="1:27" x14ac:dyDescent="0.35">
      <c r="A9" s="106"/>
      <c r="B9"/>
      <c r="C9" s="85" t="s">
        <v>484</v>
      </c>
      <c r="D9" s="45"/>
      <c r="E9" s="45"/>
      <c r="F9" s="22">
        <v>1000</v>
      </c>
      <c r="G9" s="45"/>
      <c r="H9" s="45"/>
      <c r="I9" s="22">
        <v>1000</v>
      </c>
      <c r="J9" s="16"/>
      <c r="K9" s="106"/>
      <c r="AA9" s="94"/>
    </row>
    <row r="10" spans="1:27" x14ac:dyDescent="0.35">
      <c r="A10" s="106"/>
      <c r="B10"/>
      <c r="C10" s="85" t="s">
        <v>505</v>
      </c>
      <c r="D10" s="46"/>
      <c r="E10" s="46"/>
      <c r="F10" s="46">
        <v>0.03</v>
      </c>
      <c r="G10" s="46"/>
      <c r="H10" s="46"/>
      <c r="I10" s="46">
        <v>0.03</v>
      </c>
      <c r="J10" s="16"/>
      <c r="K10" s="106"/>
      <c r="AA10" s="94"/>
    </row>
    <row r="11" spans="1:27" ht="15.75" customHeight="1" x14ac:dyDescent="0.35">
      <c r="A11" s="106"/>
      <c r="B11"/>
      <c r="C11" s="437" t="s">
        <v>506</v>
      </c>
      <c r="D11" s="46"/>
      <c r="E11" s="45"/>
      <c r="F11" s="22">
        <v>9</v>
      </c>
      <c r="G11" s="45"/>
      <c r="H11" s="45"/>
      <c r="I11" s="22">
        <v>9</v>
      </c>
      <c r="J11" s="16"/>
      <c r="K11" s="106"/>
      <c r="N11" s="109"/>
      <c r="O11" s="109"/>
      <c r="P11" s="109"/>
      <c r="Q11" s="109"/>
    </row>
    <row r="12" spans="1:27" x14ac:dyDescent="0.35">
      <c r="A12" s="106"/>
      <c r="B12"/>
      <c r="C12" s="85" t="s">
        <v>507</v>
      </c>
      <c r="D12" s="22"/>
      <c r="E12" s="45"/>
      <c r="F12" s="29">
        <v>8.5040816326530617</v>
      </c>
      <c r="G12" s="58"/>
      <c r="H12" s="29"/>
      <c r="I12" s="29">
        <v>8.5040816326530617</v>
      </c>
      <c r="J12" s="16"/>
      <c r="K12" s="106"/>
      <c r="N12" s="109"/>
      <c r="O12" s="109"/>
      <c r="P12" s="109"/>
      <c r="Q12" s="109"/>
    </row>
    <row r="13" spans="1:27" x14ac:dyDescent="0.35">
      <c r="A13" s="106"/>
      <c r="B13"/>
      <c r="C13" s="16"/>
      <c r="D13" s="137"/>
      <c r="E13" s="108"/>
      <c r="F13" s="137"/>
      <c r="G13" s="108"/>
      <c r="H13" s="108"/>
      <c r="I13" s="137"/>
      <c r="J13" s="16"/>
      <c r="K13" s="106"/>
      <c r="N13" s="109"/>
      <c r="O13" s="109"/>
      <c r="P13" s="109"/>
      <c r="Q13" s="109"/>
    </row>
    <row r="14" spans="1:27" ht="15.5" x14ac:dyDescent="0.35">
      <c r="A14" s="106"/>
      <c r="B14"/>
      <c r="C14" s="104" t="s">
        <v>209</v>
      </c>
      <c r="D14" s="135"/>
      <c r="E14" s="135"/>
      <c r="F14" s="135"/>
      <c r="G14" s="135"/>
      <c r="H14" s="135"/>
      <c r="I14" s="135"/>
      <c r="J14" s="16"/>
      <c r="K14" s="106"/>
      <c r="N14" s="109"/>
      <c r="O14" s="109"/>
      <c r="P14" s="109"/>
      <c r="Q14" s="109"/>
    </row>
    <row r="15" spans="1:27" x14ac:dyDescent="0.35">
      <c r="A15" s="106"/>
      <c r="B15"/>
      <c r="C15" s="137" t="s">
        <v>199</v>
      </c>
      <c r="D15"/>
      <c r="E15"/>
      <c r="F15"/>
      <c r="G15"/>
      <c r="H15"/>
      <c r="I15"/>
      <c r="J15" s="16"/>
      <c r="K15" s="106"/>
      <c r="N15" s="109"/>
      <c r="O15" s="109"/>
      <c r="P15" s="109"/>
      <c r="Q15" s="109"/>
    </row>
    <row r="16" spans="1:27" x14ac:dyDescent="0.35">
      <c r="A16" s="106"/>
      <c r="B16"/>
      <c r="C16" s="89" t="s">
        <v>156</v>
      </c>
      <c r="D16" s="10"/>
      <c r="E16" s="10"/>
      <c r="F16" s="10">
        <v>4</v>
      </c>
      <c r="G16" s="10"/>
      <c r="H16" s="10"/>
      <c r="I16" s="10">
        <v>4</v>
      </c>
      <c r="J16" s="16"/>
      <c r="K16" s="106"/>
      <c r="N16" s="109"/>
      <c r="O16" s="109"/>
      <c r="P16" s="109"/>
      <c r="Q16" s="109"/>
    </row>
    <row r="17" spans="1:17" x14ac:dyDescent="0.35">
      <c r="A17" s="106"/>
      <c r="B17"/>
      <c r="C17" s="89" t="s">
        <v>49</v>
      </c>
      <c r="D17" s="10"/>
      <c r="E17" s="10"/>
      <c r="F17" s="10">
        <v>250</v>
      </c>
      <c r="G17" s="10"/>
      <c r="H17" s="10"/>
      <c r="I17" s="10">
        <v>250</v>
      </c>
      <c r="J17" s="16"/>
      <c r="K17" s="106"/>
      <c r="N17" s="109"/>
      <c r="O17" s="109"/>
      <c r="P17" s="109"/>
      <c r="Q17" s="109"/>
    </row>
    <row r="18" spans="1:17" x14ac:dyDescent="0.35">
      <c r="A18" s="106"/>
      <c r="B18"/>
      <c r="C18" s="136"/>
      <c r="D18"/>
      <c r="E18"/>
      <c r="F18"/>
      <c r="G18"/>
      <c r="H18"/>
      <c r="I18"/>
      <c r="J18" s="16"/>
      <c r="K18" s="106"/>
      <c r="N18" s="109"/>
      <c r="O18" s="109"/>
      <c r="P18" s="109"/>
      <c r="Q18" s="109"/>
    </row>
    <row r="19" spans="1:17" ht="15.75" customHeight="1" x14ac:dyDescent="0.35">
      <c r="A19" s="106"/>
      <c r="B19"/>
      <c r="C19" s="132" t="s">
        <v>192</v>
      </c>
      <c r="D19" s="115"/>
      <c r="E19" s="115"/>
      <c r="F19" s="115"/>
      <c r="G19" s="115" t="s">
        <v>192</v>
      </c>
      <c r="H19" s="115"/>
      <c r="I19" s="115"/>
      <c r="J19" s="16"/>
      <c r="K19" s="106"/>
    </row>
    <row r="20" spans="1:17" ht="15.75" customHeight="1" x14ac:dyDescent="0.35">
      <c r="A20" s="106"/>
      <c r="B20"/>
      <c r="C20" s="137" t="s">
        <v>199</v>
      </c>
      <c r="D20"/>
      <c r="E20"/>
      <c r="F20"/>
      <c r="G20"/>
      <c r="H20"/>
      <c r="I20"/>
      <c r="J20" s="16"/>
      <c r="K20" s="106"/>
    </row>
    <row r="21" spans="1:17" x14ac:dyDescent="0.35">
      <c r="A21" s="106"/>
      <c r="B21"/>
      <c r="C21" s="85" t="s">
        <v>176</v>
      </c>
      <c r="D21" s="47"/>
      <c r="E21" s="13"/>
      <c r="F21" s="13">
        <f xml:space="preserve"> (1-F10)*F8*F9</f>
        <v>3880</v>
      </c>
      <c r="G21" s="47"/>
      <c r="H21" s="13"/>
      <c r="I21" s="13">
        <f xml:space="preserve"> (1-I10)*I8*I9</f>
        <v>3880</v>
      </c>
      <c r="J21" s="16"/>
      <c r="K21" s="106"/>
    </row>
    <row r="22" spans="1:17" x14ac:dyDescent="0.35">
      <c r="A22" s="106"/>
      <c r="B22"/>
      <c r="C22" s="85" t="s">
        <v>177</v>
      </c>
      <c r="D22" s="47"/>
      <c r="E22" s="13"/>
      <c r="F22" s="13">
        <f>F8*F10*F9</f>
        <v>120</v>
      </c>
      <c r="G22" s="47"/>
      <c r="H22" s="13"/>
      <c r="I22" s="13">
        <f>I8*I10*I9</f>
        <v>120</v>
      </c>
      <c r="J22" s="16"/>
      <c r="K22" s="106"/>
    </row>
    <row r="23" spans="1:17" x14ac:dyDescent="0.35">
      <c r="A23" s="106"/>
      <c r="B23"/>
      <c r="C23" s="85" t="s">
        <v>63</v>
      </c>
      <c r="D23" s="47"/>
      <c r="E23" s="48"/>
      <c r="F23" s="48">
        <f>(F8/F11)*60</f>
        <v>26.666666666666664</v>
      </c>
      <c r="G23" s="47"/>
      <c r="H23" s="48"/>
      <c r="I23" s="48">
        <f>(I8/I11)*60</f>
        <v>26.666666666666664</v>
      </c>
      <c r="J23" s="16"/>
      <c r="K23" s="106"/>
    </row>
    <row r="24" spans="1:17" x14ac:dyDescent="0.35">
      <c r="A24" s="106"/>
      <c r="B24"/>
      <c r="C24" s="85" t="s">
        <v>64</v>
      </c>
      <c r="D24" s="47"/>
      <c r="E24" s="48"/>
      <c r="F24" s="48">
        <f>(F8/F12)*60</f>
        <v>28.221742260619148</v>
      </c>
      <c r="G24" s="47"/>
      <c r="H24" s="48"/>
      <c r="I24" s="48">
        <f>(I8/I12)*60</f>
        <v>28.221742260619148</v>
      </c>
      <c r="J24" s="16"/>
      <c r="K24" s="106"/>
    </row>
    <row r="25" spans="1:17" x14ac:dyDescent="0.35">
      <c r="A25" s="106"/>
      <c r="B25"/>
      <c r="C25" s="85" t="s">
        <v>54</v>
      </c>
      <c r="D25" s="48"/>
      <c r="E25" s="48"/>
      <c r="F25" s="48">
        <f>((F11-F12)/60)*F9*F16*F17</f>
        <v>8265.3061224489702</v>
      </c>
      <c r="G25" s="48"/>
      <c r="H25" s="48"/>
      <c r="I25" s="48">
        <f>((I11-I12)/60)*I9*I16*I17</f>
        <v>8265.3061224489702</v>
      </c>
      <c r="J25" s="16"/>
      <c r="K25" s="106"/>
    </row>
    <row r="26" spans="1:17" x14ac:dyDescent="0.35">
      <c r="A26" s="106"/>
      <c r="B26"/>
      <c r="C26" s="16"/>
      <c r="D26"/>
      <c r="E26" s="96"/>
      <c r="F26" s="96"/>
      <c r="G26"/>
      <c r="H26" s="96"/>
      <c r="I26" s="96"/>
      <c r="J26" s="16"/>
      <c r="K26" s="106"/>
    </row>
    <row r="27" spans="1:17" ht="15.75" customHeight="1" x14ac:dyDescent="0.35">
      <c r="A27" s="106"/>
      <c r="B27"/>
      <c r="C27" s="132" t="s">
        <v>271</v>
      </c>
      <c r="D27" s="135"/>
      <c r="E27" s="135"/>
      <c r="F27" s="135"/>
      <c r="G27" s="135" t="s">
        <v>195</v>
      </c>
      <c r="H27" s="135"/>
      <c r="I27" s="135"/>
      <c r="J27" s="16"/>
      <c r="K27" s="106"/>
    </row>
    <row r="28" spans="1:17" ht="15.75" customHeight="1" x14ac:dyDescent="0.35">
      <c r="A28" s="106"/>
      <c r="B28"/>
      <c r="C28" s="137" t="s">
        <v>132</v>
      </c>
      <c r="D28" s="128"/>
      <c r="E28" s="128"/>
      <c r="F28" s="128" t="s">
        <v>485</v>
      </c>
      <c r="G28" s="128"/>
      <c r="H28" s="128"/>
      <c r="I28" s="128" t="s">
        <v>486</v>
      </c>
      <c r="J28" s="16"/>
      <c r="K28" s="106"/>
    </row>
    <row r="29" spans="1:17" x14ac:dyDescent="0.35">
      <c r="A29" s="106"/>
      <c r="B29"/>
      <c r="C29" s="85" t="s">
        <v>424</v>
      </c>
      <c r="D29" s="65">
        <f>LOOKUP(ROUNDDOWN(F$23/5, 0)*5,'2025ER'!$D$6:$D$21,'2025ER'!$H$6:$H$21)+((F$23-ROUNDDOWN(F$23/5, 0)*5)/5)*(LOOKUP(ROUNDUP(F$23/5, 0)*5,'2025ER'!$D$6:$D$21,'2025ER'!$H$6:$H$21)-LOOKUP(ROUNDDOWN(F$23/5, 0)*5,'2025ER'!$D$6:$D$21,'2025ER'!$H$6:$H$21))</f>
        <v>340.17699576195781</v>
      </c>
      <c r="E29" s="65">
        <f>LOOKUP(ROUNDDOWN(F$23/5, 0)*5,'2035ER'!$D$6:$D$21,'2035ER'!$H$6:$H$21)+((F$23-ROUNDDOWN(F$23/5, 0)*5)/5)*(LOOKUP(ROUNDUP(F$23/5, 0)*5,'2035ER'!$D$6:$D$21,'2035ER'!$H$6:$H$21)-LOOKUP(ROUNDDOWN(F$23/5, 0)*5,'2035ER'!$D$6:$D$21,'2035ER'!$H$6:$H$21))</f>
        <v>187.27602002167598</v>
      </c>
      <c r="F29" s="65">
        <f>IF( $F$7&gt;2035,E29,TREND(D29:E29, D$7:E$7, F$7))</f>
        <v>263.72650789181716</v>
      </c>
      <c r="G29" s="65">
        <f>LOOKUP(ROUNDDOWN(I$23/5, 0)*5,'2025ER'!$D$6:$D$21,'2025ER'!$H$6:$H$21)+((I$23-ROUNDDOWN(I$23/5, 0)*5)/5)*(LOOKUP(ROUNDUP(I$23/5, 0)*5,'2025ER'!$D$6:$D$21,'2025ER'!$H$6:$H$21)-LOOKUP(ROUNDDOWN(I$23/5, 0)*5,'2025ER'!$D$6:$D$21,'2025ER'!$H$6:$H$21))</f>
        <v>340.17699576195781</v>
      </c>
      <c r="H29" s="65">
        <f>LOOKUP(ROUNDDOWN(I$23/5, 0)*5,'2035ER'!$D$6:$D$21,'2035ER'!$H$6:$H$21)+((I$23-ROUNDDOWN(I$23/5, 0)*5)/5)*(LOOKUP(ROUNDUP(I$23/5, 0)*5,'2035ER'!$D$6:$D$21,'2035ER'!$H$6:$H$21)-LOOKUP(ROUNDDOWN(I$23/5, 0)*5,'2035ER'!$D$6:$D$21,'2035ER'!$H$6:$H$21))</f>
        <v>187.27602002167598</v>
      </c>
      <c r="I29" s="65">
        <f>IF(I$7&gt;2035,E29,TREND(G29:H29,G$7:H$7,I$7))</f>
        <v>263.72650789181716</v>
      </c>
      <c r="J29" s="57"/>
      <c r="K29" s="106"/>
    </row>
    <row r="30" spans="1:17" x14ac:dyDescent="0.35">
      <c r="A30" s="106"/>
      <c r="B30"/>
      <c r="C30" s="85" t="s">
        <v>106</v>
      </c>
      <c r="D30" s="65">
        <f>LOOKUP(ROUNDDOWN(F$23/5, 0)*5,'2025ER'!$D$23:$D$38,'2025ER'!$H$23:$H$38)+((F$23-ROUNDDOWN(F$23/5, 0)*5)/5)*(LOOKUP(ROUNDUP(F$23/5, 0)*5,'2025ER'!$D$23:$D$38,'2025ER'!$H$23:$H$38)-LOOKUP(ROUNDDOWN(F$23/5, 0)*5,'2025ER'!$D$23:$D$38,'2025ER'!$H$23:$H$38))</f>
        <v>0.15126444750037127</v>
      </c>
      <c r="E30" s="65">
        <f>LOOKUP(ROUNDDOWN(F$23/5, 0)*5,'2035ER'!$D$23:$D$38,'2035ER'!$H$23:$H$38)+((F$23-ROUNDDOWN(F$23/5, 0)*5)/5)*(LOOKUP(ROUNDUP(F$23/5, 0)*5,'2035ER'!$D$23:$D$38,'2035ER'!$H$23:$H$38)-LOOKUP(ROUNDDOWN(F$23/5, 0)*5,'2035ER'!$D$23:$D$38,'2035ER'!$H$23:$H$38))</f>
        <v>1.8821504397125662E-2</v>
      </c>
      <c r="F30" s="65">
        <f>IF( $F$7&gt;2035,E30,TREND(D30:E30, D$7:E$7, F$7))</f>
        <v>8.5042975948748989E-2</v>
      </c>
      <c r="G30" s="65">
        <f>LOOKUP(ROUNDDOWN(I$23/5, 0)*5,'2025ER'!$D$23:$D$38,'2025ER'!$H$23:$H$38)+((I$23-ROUNDDOWN(I$23/5, 0)*5)/5)*(LOOKUP(ROUNDUP(I$23/5, 0)*5,'2025ER'!$D$23:$D$38,'2025ER'!$H$23:$H$38)-LOOKUP(ROUNDDOWN(I$23/5, 0)*5,'2025ER'!$D$23:$D$38,'2025ER'!$H$23:$H$38))</f>
        <v>0.15126444750037127</v>
      </c>
      <c r="H30" s="65">
        <f>LOOKUP(ROUNDDOWN(I$23/5, 0)*5,'2035ER'!$D$23:$D$38,'2035ER'!$H$23:$H$38)+((I$23-ROUNDDOWN(I$23/5, 0)*5)/5)*(LOOKUP(ROUNDUP(I$23/5, 0)*5,'2035ER'!$D$23:$D$38,'2035ER'!$H$23:$H$38)-LOOKUP(ROUNDDOWN(I$23/5, 0)*5,'2035ER'!$D$23:$D$38,'2035ER'!$H$23:$H$38))</f>
        <v>1.8821504397125662E-2</v>
      </c>
      <c r="I30" s="65">
        <f t="shared" ref="I30:I42" si="0">IF(I$7&gt;2035,E30,TREND(G30:H30,G$7:H$7,I$7))</f>
        <v>8.5042975948748989E-2</v>
      </c>
      <c r="J30" s="64"/>
      <c r="K30" s="106"/>
    </row>
    <row r="31" spans="1:17" x14ac:dyDescent="0.35">
      <c r="A31" s="106"/>
      <c r="B31"/>
      <c r="C31" s="85" t="s">
        <v>122</v>
      </c>
      <c r="D31" s="65">
        <f>LOOKUP(ROUNDDOWN(F$23/5, 0)*5,'2025ER'!$D$40:$D$55,'2025ER'!$H$40:$H$55)+((F$23-ROUNDDOWN(F$23/5, 0)*5)/5)*(LOOKUP(ROUNDUP(F$23/5, 0)*5,'2025ER'!$D$40:$D$55,'2025ER'!$H$40:$H$55)-LOOKUP(ROUNDDOWN(F$23/5, 0)*5,'2025ER'!$D$40:$D$55,'2025ER'!$H$40:$H$55))</f>
        <v>3.2943515705553673E-3</v>
      </c>
      <c r="E31" s="65">
        <f>LOOKUP(ROUNDDOWN(F$23/5, 0)*5,'2035ER'!$D$40:$D$55,'2035ER'!$H$40:$H$55)+((F$23-ROUNDDOWN(F$23/5, 0)*5)/5)*(LOOKUP(ROUNDUP(F$23/5, 0)*5,'2035ER'!$D$40:$D$55,'2035ER'!$H$40:$H$55)-LOOKUP(ROUNDDOWN(F$23/5, 0)*5,'2035ER'!$D$40:$D$55,'2035ER'!$H$40:$H$55))</f>
        <v>1.1695219006455533E-3</v>
      </c>
      <c r="F31" s="65">
        <f t="shared" ref="F31:F42" si="1">IF( $F$7&gt;2035,E31,TREND(D31:E31, D$7:E$7, F$7))</f>
        <v>2.2319367356004594E-3</v>
      </c>
      <c r="G31" s="65">
        <f>LOOKUP(ROUNDDOWN(I$23/5, 0)*5,'2025ER'!$D$40:$D$55,'2025ER'!$H$40:$H$55)+((I$23-ROUNDDOWN(I$23/5, 0)*5)/5)*(LOOKUP(ROUNDUP(I$23/5, 0)*5,'2025ER'!$D$40:$D$55,'2025ER'!$H$40:$H$55)-LOOKUP(ROUNDDOWN(I$23/5, 0)*5,'2025ER'!$D$40:$D$55,'2025ER'!$H$40:$H$55))</f>
        <v>3.2943515705553673E-3</v>
      </c>
      <c r="H31" s="65">
        <f>LOOKUP(ROUNDDOWN(I$23/5, 0)*5,'2035ER'!$D$40:$D$55,'2035ER'!$H$40:$H$55)+((I$23-ROUNDDOWN(I$23/5, 0)*5)/5)*(LOOKUP(ROUNDUP(I$23/5, 0)*5,'2035ER'!$D$40:$D$55,'2035ER'!$H$40:$H$55)-LOOKUP(ROUNDDOWN(I$23/5, 0)*5,'2035ER'!$D$40:$D$55,'2035ER'!$H$40:$H$55))</f>
        <v>1.1695219006455533E-3</v>
      </c>
      <c r="I31" s="65">
        <f t="shared" si="0"/>
        <v>2.2319367356004594E-3</v>
      </c>
      <c r="J31" s="16"/>
      <c r="K31" s="106"/>
    </row>
    <row r="32" spans="1:17" x14ac:dyDescent="0.35">
      <c r="A32" s="106"/>
      <c r="B32"/>
      <c r="C32" s="85" t="s">
        <v>146</v>
      </c>
      <c r="D32" s="65">
        <f>LOOKUP(ROUNDDOWN(F$23/5, 0)*5,'2025ER'!$D$57:$D$72,'2025ER'!$H$57:$H$72)+((F$23-ROUNDDOWN(F$23/5, 0)*5)/5)*(LOOKUP(ROUNDUP(F$23/5, 0)*5,'2025ER'!$D$57:$D$72,'2025ER'!$H$57:$H$72)-LOOKUP(ROUNDDOWN(F$23/5, 0)*5,'2025ER'!$D$57:$D$72,'2025ER'!$H$57:$H$72))</f>
        <v>0.14928669931540203</v>
      </c>
      <c r="E32" s="65">
        <f>LOOKUP(ROUNDDOWN(F$23/5, 0)*5,'2035ER'!$D$57:$D$72,'2035ER'!$H$57:$H$72)+((F$23-ROUNDDOWN(F$23/5, 0)*5)/5)*(LOOKUP(ROUNDUP(F$23/5, 0)*5,'2035ER'!$D$57:$D$72,'2035ER'!$H$57:$H$72)-LOOKUP(ROUNDDOWN(F$23/5, 0)*5,'2035ER'!$D$57:$D$72,'2035ER'!$H$57:$H$72))</f>
        <v>1.8681174388126585E-2</v>
      </c>
      <c r="F32" s="65">
        <f t="shared" si="1"/>
        <v>8.3983936851765861E-2</v>
      </c>
      <c r="G32" s="65">
        <f>LOOKUP(ROUNDDOWN(I$23/5, 0)*5,'2025ER'!$D$57:$D$72,'2025ER'!$H$57:$H$72)+((I$23-ROUNDDOWN(I$23/5, 0)*5)/5)*(LOOKUP(ROUNDUP(I$23/5, 0)*5,'2025ER'!$D$57:$D$72,'2025ER'!$H$57:$H$72)-LOOKUP(ROUNDDOWN(I$23/5, 0)*5,'2025ER'!$D$57:$D$72,'2025ER'!$H$57:$H$72))</f>
        <v>0.14928669931540203</v>
      </c>
      <c r="H32" s="65">
        <f>LOOKUP(ROUNDDOWN(I$23/5, 0)*5,'2035ER'!$D$57:$D$72,'2035ER'!$H$57:$H$72)+((I$23-ROUNDDOWN(I$23/5, 0)*5)/5)*(LOOKUP(ROUNDUP(I$23/5, 0)*5,'2035ER'!$D$57:$D$72,'2035ER'!$H$57:$H$72)-LOOKUP(ROUNDDOWN(I$23/5, 0)*5,'2035ER'!$D$57:$D$72,'2035ER'!$H$57:$H$72))</f>
        <v>1.8681174388126585E-2</v>
      </c>
      <c r="I32" s="65">
        <f>IF(I$7&gt;2035,E32,TREND(G32:H32,G$7:H$7,I$7))</f>
        <v>8.3983936851765861E-2</v>
      </c>
      <c r="J32" s="16"/>
      <c r="K32" s="106"/>
    </row>
    <row r="33" spans="1:11" x14ac:dyDescent="0.35">
      <c r="A33" s="106"/>
      <c r="B33"/>
      <c r="C33" s="85" t="s">
        <v>144</v>
      </c>
      <c r="D33" s="65">
        <f>LOOKUP(ROUNDDOWN(F$23/5, 0)*5,'2025ER'!$D$74:$D$89,'2025ER'!$H$74:$H$89)+((F$23-ROUNDDOWN(F$23/5, 0)*5)/5)*(LOOKUP(ROUNDUP(F$23/5, 0)*5,'2025ER'!$D$74:$D$89,'2025ER'!$H$74:$H$89)-LOOKUP(ROUNDDOWN(F$23/5, 0)*5,'2025ER'!$D$74:$D$89,'2025ER'!$H$74:$H$89))</f>
        <v>0.11483899325727003</v>
      </c>
      <c r="E33" s="65">
        <f>LOOKUP(ROUNDDOWN(F$23/5, 0)*5,'2035ER'!$D$74:$D$89,'2035ER'!$H$74:$H$89)+((F$23-ROUNDDOWN(F$23/5, 0)*5)/5)*(LOOKUP(ROUNDUP(F$23/5, 0)*5,'2035ER'!$D$74:$D$89,'2035ER'!$H$74:$H$89)-LOOKUP(ROUNDDOWN(F$23/5, 0)*5,'2035ER'!$D$74:$D$89,'2035ER'!$H$74:$H$89))</f>
        <v>5.2863842280323578E-2</v>
      </c>
      <c r="F33" s="65">
        <f t="shared" si="1"/>
        <v>8.3851417768796566E-2</v>
      </c>
      <c r="G33" s="65">
        <f>LOOKUP(ROUNDDOWN(I$23/5, 0)*5,'2025ER'!$D$74:$D$89,'2025ER'!$H$74:$H$89)+((I$23-ROUNDDOWN(I$23/5, 0)*5)/5)*(LOOKUP(ROUNDUP(I$23/5, 0)*5,'2025ER'!$D$74:$D$89,'2025ER'!$H$74:$H$89)-LOOKUP(ROUNDDOWN(I$23/5, 0)*5,'2025ER'!$D$74:$D$89,'2025ER'!$H$74:$H$89))</f>
        <v>0.11483899325727003</v>
      </c>
      <c r="H33" s="65">
        <f>LOOKUP(ROUNDDOWN(I$23/5, 0)*5,'2035ER'!$D$74:$D$89,'2035ER'!$H$74:$H$89)+((I$23-ROUNDDOWN(I$23/5, 0)*5)/5)*(LOOKUP(ROUNDUP(I$23/5, 0)*5,'2035ER'!$D$74:$D$89,'2035ER'!$H$74:$H$89)-LOOKUP(ROUNDDOWN(I$23/5, 0)*5,'2035ER'!$D$74:$D$89,'2035ER'!$H$74:$H$89))</f>
        <v>5.2863842280323578E-2</v>
      </c>
      <c r="I33" s="65">
        <f t="shared" si="0"/>
        <v>8.3851417768796566E-2</v>
      </c>
      <c r="J33" s="16"/>
      <c r="K33" s="106"/>
    </row>
    <row r="34" spans="1:11" x14ac:dyDescent="0.35">
      <c r="A34" s="106"/>
      <c r="B34"/>
      <c r="C34" s="85" t="s">
        <v>383</v>
      </c>
      <c r="D34" s="65">
        <f>LOOKUP(ROUNDDOWN(F$23/5, 0)*5,'2025ER'!$D$91:$D$106,'2025ER'!$H$91:$H$106)+((F$23-ROUNDDOWN(F$23/5, 0)*5)/5)*(LOOKUP(ROUNDUP(F$23/5, 0)*5,'2025ER'!$D$91:$D$106,'2025ER'!$H$91:$H$106)-LOOKUP(ROUNDDOWN(F$23/5, 0)*5,'2025ER'!$D$91:$D$106,'2025ER'!$H$91:$H$106))</f>
        <v>2.3133856628396086E-3</v>
      </c>
      <c r="E34" s="65">
        <f>LOOKUP(ROUNDDOWN(F$23/5, 0)*5,'2035ER'!$D$91:$D$106,'2035ER'!$H$91:$H$106)+((F$23-ROUNDDOWN(F$23/5, 0)*5)/5)*(LOOKUP(ROUNDUP(F$23/5, 0)*5,'2035ER'!$D$91:$D$106,'2035ER'!$H$91:$H$106)-LOOKUP(ROUNDDOWN(F$23/5, 0)*5,'2035ER'!$D$91:$D$106,'2035ER'!$H$91:$H$106))</f>
        <v>1.2760337578899418E-3</v>
      </c>
      <c r="F34" s="65">
        <f t="shared" si="1"/>
        <v>1.7947097103647724E-3</v>
      </c>
      <c r="G34" s="65">
        <f>LOOKUP(ROUNDDOWN(I$23/5, 0)*5,'2025ER'!$D$91:$D$106,'2025ER'!$H$91:$H$106)+((I$23-ROUNDDOWN(I$23/5, 0)*5)/5)*(LOOKUP(ROUNDUP(I$23/5, 0)*5,'2025ER'!$D$91:$D$106,'2025ER'!$H$91:$H$106)-LOOKUP(ROUNDDOWN(I$23/5, 0)*5,'2025ER'!$D$91:$D$106,'2025ER'!$H$91:$H$106))</f>
        <v>2.3133856628396086E-3</v>
      </c>
      <c r="H34" s="65">
        <f>LOOKUP(ROUNDDOWN(I$23/5, 0)*5,'2035ER'!$D$91:$D$106,'2035ER'!$H$91:$H$106)+((I$23-ROUNDDOWN(I$23/5, 0)*5)/5)*(LOOKUP(ROUNDUP(I$23/5, 0)*5,'2035ER'!$D$91:$D$106,'2035ER'!$H$91:$H$106)-LOOKUP(ROUNDDOWN(I$23/5, 0)*5,'2035ER'!$D$91:$D$106,'2035ER'!$H$91:$H$106))</f>
        <v>1.2760337578899418E-3</v>
      </c>
      <c r="I34" s="65">
        <f t="shared" si="0"/>
        <v>1.7947097103647724E-3</v>
      </c>
      <c r="J34" s="16"/>
      <c r="K34" s="106"/>
    </row>
    <row r="35" spans="1:11" x14ac:dyDescent="0.35">
      <c r="A35" s="106"/>
      <c r="B35"/>
      <c r="C35" s="85" t="s">
        <v>384</v>
      </c>
      <c r="D35" s="65">
        <f>LOOKUP(ROUNDDOWN(F$23/5, 0)*5,'2025ER'!$D$108:$D$123,'2025ER'!$H$108:$H$123)+((F$23-ROUNDDOWN(F$23/5, 0)*5)/5)*(LOOKUP(ROUNDUP(F$23/5, 0)*5,'2025ER'!$D$108:$D$123,'2025ER'!$H$108:$H$123)-LOOKUP(ROUNDDOWN(F$23/5, 0)*5,'2025ER'!$D$108:$D$123,'2025ER'!$H$108:$H$123))</f>
        <v>3.1703147895638928</v>
      </c>
      <c r="E35" s="65">
        <f>LOOKUP(ROUNDDOWN(F$23/5, 0)*5,'2035ER'!$D$108:$D$123,'2035ER'!$H$108:$H$123)+((F$23-ROUNDDOWN(F$23/5, 0)*5)/5)*(LOOKUP(ROUNDUP(F$23/5, 0)*5,'2035ER'!$D$108:$D$123,'2035ER'!$H$108:$H$123)-LOOKUP(ROUNDDOWN(F$23/5, 0)*5,'2035ER'!$D$108:$D$123,'2035ER'!$H$108:$H$123))</f>
        <v>1.410410956523322</v>
      </c>
      <c r="F35" s="65">
        <f t="shared" si="1"/>
        <v>2.2903628730435912</v>
      </c>
      <c r="G35" s="65">
        <f>LOOKUP(ROUNDDOWN(I$23/5, 0)*5,'2025ER'!$D$108:$D$123,'2025ER'!$H$108:$H$123)+((I$23-ROUNDDOWN(I$23/5, 0)*5)/5)*(LOOKUP(ROUNDUP(I$23/5, 0)*5,'2025ER'!$D$108:$D$123,'2025ER'!$H$108:$H$123)-LOOKUP(ROUNDDOWN(I$23/5, 0)*5,'2025ER'!$D$108:$D$123,'2025ER'!$H$108:$H$123))</f>
        <v>3.1703147895638928</v>
      </c>
      <c r="H35" s="65">
        <f>LOOKUP(ROUNDDOWN(I$23/5, 0)*5,'2035ER'!$D$108:$D$123,'2035ER'!$H$108:$H$123)+((I$23-ROUNDDOWN(I$23/5, 0)*5)/5)*(LOOKUP(ROUNDUP(I$23/5, 0)*5,'2035ER'!$D$108:$D$123,'2035ER'!$H$108:$H$123)-LOOKUP(ROUNDDOWN(I$23/5, 0)*5,'2035ER'!$D$108:$D$123,'2035ER'!$H$108:$H$123))</f>
        <v>1.410410956523322</v>
      </c>
      <c r="I35" s="65">
        <f t="shared" si="0"/>
        <v>2.2903628730435912</v>
      </c>
      <c r="J35" s="16"/>
      <c r="K35" s="106"/>
    </row>
    <row r="36" spans="1:11" x14ac:dyDescent="0.35">
      <c r="A36" s="106"/>
      <c r="B36"/>
      <c r="C36" s="85" t="s">
        <v>425</v>
      </c>
      <c r="D36" s="65">
        <f>LOOKUP(ROUNDDOWN(F$23/5, 0)*5,'2025ER'!$D$6:$D$21,'2025ER'!$W$6:$W$21)+((F$23-ROUNDDOWN(F$23/5, 0)*5)/5)*(LOOKUP(ROUNDUP(F$23/5, 0)*5,'2025ER'!$D$6:$D$21,'2025ER'!$W$6:$W$21)-LOOKUP(ROUNDDOWN(F$23/5, 0)*5,'2025ER'!$D$6:$D$21,'2025ER'!$W$6:$W$21))</f>
        <v>1783.7972211723211</v>
      </c>
      <c r="E36" s="65">
        <f>LOOKUP(ROUNDDOWN(F$23/5, 0)*5,'2035ER'!$D$6:$D$21,'2035ER'!$W$6:$W$21)+((F$23-ROUNDDOWN(F$23/5, 0)*5)/5)*(LOOKUP(ROUNDUP(F$23/5, 0)*5,'2035ER'!$D$6:$D$21,'2035ER'!$W$6:$W$21)-LOOKUP(ROUNDDOWN(F$23/5, 0)*5,'2035ER'!$D$6:$D$21,'2035ER'!$W$6:$W$21))</f>
        <v>1463.6796478449903</v>
      </c>
      <c r="F36" s="65">
        <f t="shared" si="1"/>
        <v>1623.7384345086612</v>
      </c>
      <c r="G36" s="65">
        <f>LOOKUP(ROUNDDOWN(I$23/5, 0)*5,'2025ER'!$D$6:$D$21,'2025ER'!$W$6:$W$21)+((I$23-ROUNDDOWN(I$23/5, 0)*5)/5)*(LOOKUP(ROUNDUP(I$23/5, 0)*5,'2025ER'!$D$6:$D$21,'2025ER'!$W$6:$W$21)-LOOKUP(ROUNDDOWN(I$23/5, 0)*5,'2025ER'!$D$6:$D$21,'2025ER'!$W$6:$W$21))</f>
        <v>1783.7972211723211</v>
      </c>
      <c r="H36" s="65">
        <f>LOOKUP(ROUNDDOWN(I$23/5, 0)*5,'2035ER'!$D$6:$D$21,'2035ER'!$W$6:$W$21)+((I$23-ROUNDDOWN(I$23/5, 0)*5)/5)*(LOOKUP(ROUNDUP(I$23/5, 0)*5,'2035ER'!$D$6:$D$21,'2035ER'!$W$6:$W$21)-LOOKUP(ROUNDDOWN(I$23/5, 0)*5,'2035ER'!$D$6:$D$21,'2035ER'!$W$6:$W$21))</f>
        <v>1463.6796478449903</v>
      </c>
      <c r="I36" s="65">
        <f t="shared" si="0"/>
        <v>1623.7384345086612</v>
      </c>
      <c r="J36" s="57"/>
      <c r="K36" s="106"/>
    </row>
    <row r="37" spans="1:11" x14ac:dyDescent="0.35">
      <c r="A37" s="106"/>
      <c r="B37"/>
      <c r="C37" s="85" t="s">
        <v>134</v>
      </c>
      <c r="D37" s="65">
        <f>LOOKUP(ROUNDDOWN(F$23/5, 0)*5,'2025ER'!$D$23:$D$38,'2025ER'!$W$23:$W$38)+((F$23-ROUNDDOWN(F$23/5, 0)*5)/5)*(LOOKUP(ROUNDUP(F$23/5, 0)*5,'2025ER'!$D$23:$D$38,'2025ER'!$W$23:$W$38)-LOOKUP(ROUNDDOWN(F$23/5, 0)*5,'2025ER'!$D$23:$D$38,'2025ER'!$W$23:$W$38))</f>
        <v>6.0884143622493561</v>
      </c>
      <c r="E37" s="65">
        <f>LOOKUP(ROUNDDOWN(F$23/5, 0)*5,'2035ER'!$D$23:$D$38,'2035ER'!$W$23:$W$38)+((F$23-ROUNDDOWN(F$23/5, 0)*5)/5)*(LOOKUP(ROUNDUP(F$23/5, 0)*5,'2035ER'!$D$23:$D$38,'2035ER'!$W$23:$W$38)-LOOKUP(ROUNDDOWN(F$23/5, 0)*5,'2035ER'!$D$23:$D$38,'2035ER'!$W$23:$W$38))</f>
        <v>2.5556436090000414</v>
      </c>
      <c r="F37" s="65">
        <f t="shared" si="1"/>
        <v>4.3220289856246836</v>
      </c>
      <c r="G37" s="65">
        <f>LOOKUP(ROUNDDOWN(I$23/5, 0)*5,'2025ER'!$D$23:$D$38,'2025ER'!$W$23:$W$38)+((I$23-ROUNDDOWN(I$23/5, 0)*5)/5)*(LOOKUP(ROUNDUP(I$23/5, 0)*5,'2025ER'!$D$23:$D$38,'2025ER'!$W$23:$W$38)-LOOKUP(ROUNDDOWN(I$23/5, 0)*5,'2025ER'!$D$23:$D$38,'2025ER'!$W$23:$W$38))</f>
        <v>6.0884143622493561</v>
      </c>
      <c r="H37" s="65">
        <f>LOOKUP(ROUNDDOWN(I$23/5, 0)*5,'2035ER'!$D$23:$D$38,'2035ER'!$W$23:$W$38)+((I$23-ROUNDDOWN(I$23/5, 0)*5)/5)*(LOOKUP(ROUNDUP(I$23/5, 0)*5,'2035ER'!$D$23:$D$38,'2035ER'!$W$23:$W$38)-LOOKUP(ROUNDDOWN(I$23/5, 0)*5,'2035ER'!$D$23:$D$38,'2035ER'!$W$23:$W$38))</f>
        <v>2.5556436090000414</v>
      </c>
      <c r="I37" s="65">
        <f t="shared" si="0"/>
        <v>4.3220289856246836</v>
      </c>
      <c r="J37" s="16"/>
      <c r="K37" s="106"/>
    </row>
    <row r="38" spans="1:11" x14ac:dyDescent="0.35">
      <c r="A38" s="106"/>
      <c r="B38"/>
      <c r="C38" s="85" t="s">
        <v>133</v>
      </c>
      <c r="D38" s="65">
        <f>LOOKUP(ROUNDDOWN(F$23/5, 0)*5,'2025ER'!$D$40:$D$55,'2025ER'!$W$40:$W$55)+((F$23-ROUNDDOWN(F$23/5, 0)*5)/5)*(LOOKUP(ROUNDUP(F$23/5, 0)*5,'2025ER'!$D$40:$D$55,'2025ER'!$W$40:$W$55)-LOOKUP(ROUNDDOWN(F$23/5, 0)*5,'2025ER'!$D$40:$D$55,'2025ER'!$W$40:$W$55))</f>
        <v>0.16454525151534211</v>
      </c>
      <c r="E38" s="65">
        <f>LOOKUP(ROUNDDOWN(F$23/5, 0)*5,'2035ER'!$D$40:$D$55,'2035ER'!$W$40:$W$55)+((F$23-ROUNDDOWN(F$23/5, 0)*5)/5)*(LOOKUP(ROUNDUP(F$23/5, 0)*5,'2035ER'!$D$40:$D$55,'2035ER'!$W$40:$W$55)-LOOKUP(ROUNDDOWN(F$23/5, 0)*5,'2035ER'!$D$40:$D$55,'2035ER'!$W$40:$W$55))</f>
        <v>2.6988348671373306E-2</v>
      </c>
      <c r="F38" s="65">
        <f t="shared" si="1"/>
        <v>9.5766800093358029E-2</v>
      </c>
      <c r="G38" s="65">
        <f>LOOKUP(ROUNDDOWN(I$23/5, 0)*5,'2025ER'!$D$40:$D$55,'2025ER'!$W$40:$W$55)+((I$23-ROUNDDOWN(I$23/5, 0)*5)/5)*(LOOKUP(ROUNDUP(I$23/5, 0)*5,'2025ER'!$D$40:$D$55,'2025ER'!$W$40:$W$55)-LOOKUP(ROUNDDOWN(I$23/5, 0)*5,'2025ER'!$D$40:$D$55,'2025ER'!$W$40:$W$55))</f>
        <v>0.16454525151534211</v>
      </c>
      <c r="H38" s="65">
        <f>LOOKUP(ROUNDDOWN(I$23/5, 0)*5,'2035ER'!$D$40:$D$55,'2035ER'!$W$40:$W$55)+((I$23-ROUNDDOWN(I$23/5, 0)*5)/5)*(LOOKUP(ROUNDUP(I$23/5, 0)*5,'2035ER'!$D$40:$D$55,'2035ER'!$W$40:$W$55)-LOOKUP(ROUNDDOWN(I$23/5, 0)*5,'2035ER'!$D$40:$D$55,'2035ER'!$W$40:$W$55))</f>
        <v>2.6988348671373306E-2</v>
      </c>
      <c r="I38" s="65">
        <f t="shared" si="0"/>
        <v>9.5766800093358029E-2</v>
      </c>
      <c r="J38" s="16"/>
      <c r="K38" s="106"/>
    </row>
    <row r="39" spans="1:11" x14ac:dyDescent="0.35">
      <c r="A39" s="106"/>
      <c r="B39"/>
      <c r="C39" s="85" t="s">
        <v>147</v>
      </c>
      <c r="D39" s="65">
        <f>LOOKUP(ROUNDDOWN(F$23/5, 0)*5,'2025ER'!$D$57:$D$72,'2025ER'!$W$57:$W$72)+((F$23-ROUNDDOWN(F$23/5, 0)*5)/5)*(LOOKUP(ROUNDUP(F$23/5, 0)*5,'2025ER'!$D$57:$D$72,'2025ER'!$W$57:$W$72)-LOOKUP(ROUNDDOWN(F$23/5, 0)*5,'2025ER'!$D$57:$D$72,'2025ER'!$W$57:$W$72))</f>
        <v>5.8348286035307666</v>
      </c>
      <c r="E39" s="65">
        <f>LOOKUP(ROUNDDOWN(F$23/5, 0)*5,'2035ER'!$D$57:$D$72,'2035ER'!$W$57:$W$72)+((F$23-ROUNDDOWN(F$23/5, 0)*5)/5)*(LOOKUP(ROUNDUP(F$23/5, 0)*5,'2035ER'!$D$57:$D$72,'2035ER'!$W$57:$W$72)-LOOKUP(ROUNDDOWN(F$23/5, 0)*5,'2035ER'!$D$57:$D$72,'2035ER'!$W$57:$W$72))</f>
        <v>2.4069582503344393</v>
      </c>
      <c r="F39" s="65">
        <f t="shared" si="1"/>
        <v>4.1208934269326392</v>
      </c>
      <c r="G39" s="65">
        <f>LOOKUP(ROUNDDOWN(I$23/5, 0)*5,'2025ER'!$D$57:$D$72,'2025ER'!$W$57:$W$72)+((I$23-ROUNDDOWN(I$23/5, 0)*5)/5)*(LOOKUP(ROUNDUP(I$23/5, 0)*5,'2025ER'!$D$57:$D$72,'2025ER'!$W$57:$W$72)-LOOKUP(ROUNDDOWN(I$23/5, 0)*5,'2025ER'!$D$57:$D$72,'2025ER'!$W$57:$W$72))</f>
        <v>5.8348286035307666</v>
      </c>
      <c r="H39" s="65">
        <f>LOOKUP(ROUNDDOWN(I$23/5, 0)*5,'2035ER'!$D$57:$D$72,'2035ER'!$W$57:$W$72)+((I$23-ROUNDDOWN(I$23/5, 0)*5)/5)*(LOOKUP(ROUNDUP(I$23/5, 0)*5,'2035ER'!$D$57:$D$72,'2035ER'!$W$57:$W$72)-LOOKUP(ROUNDDOWN(I$23/5, 0)*5,'2035ER'!$D$57:$D$72,'2035ER'!$W$57:$W$72))</f>
        <v>2.4069582503344393</v>
      </c>
      <c r="I39" s="65">
        <f t="shared" si="0"/>
        <v>4.1208934269326392</v>
      </c>
      <c r="J39" s="16"/>
      <c r="K39" s="106"/>
    </row>
    <row r="40" spans="1:11" x14ac:dyDescent="0.35">
      <c r="A40" s="106"/>
      <c r="B40"/>
      <c r="C40" s="85" t="s">
        <v>145</v>
      </c>
      <c r="D40" s="65">
        <f>LOOKUP(ROUNDDOWN(F$23/5, 0)*5,'2025ER'!$D$74:$D$89,'2025ER'!$W$74:$W$89)+((F$23-ROUNDDOWN(F$23/5, 0)*5)/5)*(LOOKUP(ROUNDUP(F$23/5, 0)*5,'2025ER'!$D$74:$D$89,'2025ER'!$W$74:$W$89)-LOOKUP(ROUNDDOWN(F$23/5, 0)*5,'2025ER'!$D$74:$D$89,'2025ER'!$W$74:$W$89))</f>
        <v>0.29431238987637587</v>
      </c>
      <c r="E40" s="65">
        <f>LOOKUP(ROUNDDOWN(F$23/5, 0)*5,'2035ER'!$D$74:$D$89,'2035ER'!$W$74:$W$89)+((F$23-ROUNDDOWN(F$23/5, 0)*5)/5)*(LOOKUP(ROUNDUP(F$23/5, 0)*5,'2035ER'!$D$74:$D$89,'2035ER'!$W$74:$W$89)-LOOKUP(ROUNDDOWN(F$23/5, 0)*5,'2035ER'!$D$74:$D$89,'2035ER'!$W$74:$W$89))</f>
        <v>0.13454940833699658</v>
      </c>
      <c r="F40" s="65">
        <f t="shared" si="1"/>
        <v>0.21443089910668789</v>
      </c>
      <c r="G40" s="65">
        <f>LOOKUP(ROUNDDOWN(I$23/5, 0)*5,'2025ER'!$D$74:$D$89,'2025ER'!$W$74:$W$89)+((I$23-ROUNDDOWN(I$23/5, 0)*5)/5)*(LOOKUP(ROUNDUP(I$23/5, 0)*5,'2025ER'!$D$74:$D$89,'2025ER'!$W$74:$W$89)-LOOKUP(ROUNDDOWN(I$23/5, 0)*5,'2025ER'!$D$74:$D$89,'2025ER'!$W$74:$W$89))</f>
        <v>0.29431238987637587</v>
      </c>
      <c r="H40" s="65">
        <f>LOOKUP(ROUNDDOWN(I$23/5, 0)*5,'2035ER'!$D$74:$D$89,'2035ER'!$W$74:$W$89)+((I$23-ROUNDDOWN(I$23/5, 0)*5)/5)*(LOOKUP(ROUNDUP(I$23/5, 0)*5,'2035ER'!$D$74:$D$89,'2035ER'!$W$74:$W$89)-LOOKUP(ROUNDDOWN(I$23/5, 0)*5,'2035ER'!$D$74:$D$89,'2035ER'!$W$74:$W$89))</f>
        <v>0.13454940833699658</v>
      </c>
      <c r="I40" s="65">
        <f t="shared" si="0"/>
        <v>0.21443089910668789</v>
      </c>
      <c r="J40" s="16"/>
      <c r="K40" s="106"/>
    </row>
    <row r="41" spans="1:11" x14ac:dyDescent="0.35">
      <c r="A41" s="106"/>
      <c r="B41"/>
      <c r="C41" s="85" t="s">
        <v>387</v>
      </c>
      <c r="D41" s="65">
        <f>LOOKUP(ROUNDDOWN(F$23/5, 0)*5,'2025ER'!$D$91:$D$106,'2025ER'!$W$91:$W$106)+((F$23-ROUNDDOWN(F$23/5, 0)*5)/5)*(LOOKUP(ROUNDUP(F$23/5, 0)*5,'2025ER'!$D$91:$D$106,'2025ER'!$W$91:$W$106)-LOOKUP(ROUNDDOWN(F$23/5, 0)*5,'2025ER'!$D$91:$D$106,'2025ER'!$W$91:$W$106))</f>
        <v>6.0958810402034873E-3</v>
      </c>
      <c r="E41" s="65">
        <f>LOOKUP(ROUNDDOWN(F$23/5, 0)*5,'2035ER'!$D$91:$D$106,'2035ER'!$W$91:$W$106)+((F$23-ROUNDDOWN(F$23/5, 0)*5)/5)*(LOOKUP(ROUNDUP(F$23/5, 0)*5,'2035ER'!$D$91:$D$106,'2035ER'!$W$91:$W$106)-LOOKUP(ROUNDDOWN(F$23/5, 0)*5,'2035ER'!$D$91:$D$106,'2035ER'!$W$91:$W$106))</f>
        <v>4.9277376301669531E-3</v>
      </c>
      <c r="F41" s="65">
        <f t="shared" si="1"/>
        <v>5.5118093351852193E-3</v>
      </c>
      <c r="G41" s="65">
        <f>LOOKUP(ROUNDDOWN(I$23/5, 0)*5,'2025ER'!$D$91:$D$106,'2025ER'!$W$91:$W$106)+((I$23-ROUNDDOWN(I$23/5, 0)*5)/5)*(LOOKUP(ROUNDUP(I$23/5, 0)*5,'2025ER'!$D$91:$D$106,'2025ER'!$W$91:$W$106)-LOOKUP(ROUNDDOWN(I$23/5, 0)*5,'2025ER'!$D$91:$D$106,'2025ER'!$W$91:$W$106))</f>
        <v>6.0958810402034873E-3</v>
      </c>
      <c r="H41" s="65">
        <f>LOOKUP(ROUNDDOWN(I$23/5, 0)*5,'2035ER'!$D$91:$D$106,'2035ER'!$W$91:$W$106)+((I$23-ROUNDDOWN(I$23/5, 0)*5)/5)*(LOOKUP(ROUNDUP(I$23/5, 0)*5,'2035ER'!$D$91:$D$106,'2035ER'!$W$91:$W$106)-LOOKUP(ROUNDDOWN(I$23/5, 0)*5,'2035ER'!$D$91:$D$106,'2035ER'!$W$91:$W$106))</f>
        <v>4.9277376301669531E-3</v>
      </c>
      <c r="I41" s="65">
        <f t="shared" si="0"/>
        <v>5.5118093351852193E-3</v>
      </c>
      <c r="J41" s="16"/>
      <c r="K41" s="106"/>
    </row>
    <row r="42" spans="1:11" x14ac:dyDescent="0.35">
      <c r="A42" s="106"/>
      <c r="B42"/>
      <c r="C42" s="85" t="s">
        <v>388</v>
      </c>
      <c r="D42" s="65">
        <f>LOOKUP(ROUNDDOWN(F$23/5, 0)*5,'2025ER'!$D$108:$D$123,'2025ER'!$W$108:$W$123)+((F$23-ROUNDDOWN(F$23/5, 0)*5)/5)*(LOOKUP(ROUNDUP(F$23/5, 0)*5,'2025ER'!$D$108:$D$123,'2025ER'!$W$108:$W$123)-LOOKUP(ROUNDDOWN(F$23/5, 0)*5,'2025ER'!$D$108:$D$123,'2025ER'!$W$108:$W$123))</f>
        <v>3.552291737586446</v>
      </c>
      <c r="E42" s="65">
        <f>LOOKUP(ROUNDDOWN(F$23/5, 0)*5,'2035ER'!$D$108:$D$123,'2035ER'!$W$108:$W$123)+((F$23-ROUNDDOWN(F$23/5, 0)*5)/5)*(LOOKUP(ROUNDUP(F$23/5, 0)*5,'2035ER'!$D$108:$D$123,'2035ER'!$W$108:$W$123)-LOOKUP(ROUNDDOWN(F$23/5, 0)*5,'2035ER'!$D$108:$D$123,'2035ER'!$W$108:$W$123))</f>
        <v>3.0370000976049618</v>
      </c>
      <c r="F42" s="65">
        <f t="shared" si="1"/>
        <v>3.2946459175957017</v>
      </c>
      <c r="G42" s="65">
        <f>LOOKUP(ROUNDDOWN(I$23/5, 0)*5,'2025ER'!$D$108:$D$123,'2025ER'!$W$108:$W$123)+((I$23-ROUNDDOWN(I$23/5, 0)*5)/5)*(LOOKUP(ROUNDUP(I$23/5, 0)*5,'2025ER'!$D$108:$D$123,'2025ER'!$W$108:$W$123)-LOOKUP(ROUNDDOWN(I$23/5, 0)*5,'2025ER'!$D$108:$D$123,'2025ER'!$W$108:$W$123))</f>
        <v>3.552291737586446</v>
      </c>
      <c r="H42" s="65">
        <f>LOOKUP(ROUNDDOWN(I$23/5, 0)*5,'2035ER'!$D$108:$D$123,'2035ER'!$W$108:$W$123)+((I$23-ROUNDDOWN(I$23/5, 0)*5)/5)*(LOOKUP(ROUNDUP(I$23/5, 0)*5,'2035ER'!$D$108:$D$123,'2035ER'!$W$108:$W$123)-LOOKUP(ROUNDDOWN(I$23/5, 0)*5,'2035ER'!$D$108:$D$123,'2035ER'!$W$108:$W$123))</f>
        <v>3.0370000976049618</v>
      </c>
      <c r="I42" s="65">
        <f t="shared" si="0"/>
        <v>3.2946459175957017</v>
      </c>
      <c r="J42" s="16"/>
      <c r="K42" s="106"/>
    </row>
    <row r="43" spans="1:11" x14ac:dyDescent="0.35">
      <c r="A43" s="106"/>
      <c r="B43"/>
      <c r="C43" s="137" t="s">
        <v>135</v>
      </c>
      <c r="D43" s="93"/>
      <c r="E43" s="93"/>
      <c r="F43" s="93"/>
      <c r="G43" s="93"/>
      <c r="H43" s="93"/>
      <c r="I43" s="93"/>
      <c r="J43" s="16"/>
      <c r="K43" s="106"/>
    </row>
    <row r="44" spans="1:11" x14ac:dyDescent="0.35">
      <c r="A44" s="106"/>
      <c r="B44"/>
      <c r="C44" s="85" t="s">
        <v>424</v>
      </c>
      <c r="D44" s="65">
        <f>LOOKUP(ROUNDDOWN(F$24/5, 0)*5,'2025ER'!$D$6:$D$21,'2025ER'!$H$6:$H$21)+((F$24-ROUNDDOWN(F$24/5, 0)*5)/5)*(LOOKUP(ROUNDUP(F$24/5, 0)*5,'2025ER'!$D$6:$D$21,'2025ER'!$H$6:$H$21)-LOOKUP(ROUNDDOWN(F$24/5, 0)*5,'2025ER'!$D$6:$D$21,'2025ER'!$H$6:$H$21))</f>
        <v>328.50084528030027</v>
      </c>
      <c r="E44" s="65">
        <f>LOOKUP(ROUNDDOWN(F$24/5, 0)*5,'2035ER'!$D$6:$D$21,'2035ER'!$H$6:$H$21)+((F$24-ROUNDDOWN(F$24/5, 0)*5)/5)*(LOOKUP(ROUNDUP(F$24/5, 0)*5,'2035ER'!$D$6:$D$21,'2035ER'!$H$6:$H$21)-LOOKUP(ROUNDDOWN(F$24/5, 0)*5,'2035ER'!$D$6:$D$21,'2035ER'!$H$6:$H$21))</f>
        <v>180.85207693558121</v>
      </c>
      <c r="F44" s="65">
        <f>IF( $F$7&gt;2035,E44,TREND(D44:E44, D$7:E$7, F$7))</f>
        <v>254.67646110794158</v>
      </c>
      <c r="G44" s="65">
        <f>LOOKUP(ROUNDDOWN(I$24/5, 0)*5,'2025ER'!$D$6:$D$21,'2025ER'!$H$6:$H$21)+((I$24-ROUNDDOWN(I$24/5, 0)*5)/5)*(LOOKUP(ROUNDUP(I$24/5, 0)*5,'2025ER'!$D$6:$D$21,'2025ER'!$H$6:$H$21)-LOOKUP(ROUNDDOWN(I$24/5, 0)*5,'2025ER'!$D$6:$D$21,'2025ER'!$H$6:$H$21))</f>
        <v>328.50084528030027</v>
      </c>
      <c r="H44" s="65">
        <f>LOOKUP(ROUNDDOWN(I$24/5, 0)*5,'2035ER'!$D$6:$D$21,'2035ER'!$H$6:$H$21)+((I$24-ROUNDDOWN(I$24/5, 0)*5)/5)*(LOOKUP(ROUNDUP(I$24/5, 0)*5,'2035ER'!$D$6:$D$21,'2035ER'!$H$6:$H$21)-LOOKUP(ROUNDDOWN(I$24/5, 0)*5,'2035ER'!$D$6:$D$21,'2035ER'!$H$6:$H$21))</f>
        <v>180.85207693558121</v>
      </c>
      <c r="I44" s="65">
        <f>IF(I$7&gt;2035,E44,TREND(G44:H44,G$7:H$7,I$7))</f>
        <v>254.67646110794158</v>
      </c>
      <c r="J44" s="16"/>
      <c r="K44" s="106"/>
    </row>
    <row r="45" spans="1:11" x14ac:dyDescent="0.35">
      <c r="A45" s="106"/>
      <c r="B45"/>
      <c r="C45" s="85" t="s">
        <v>106</v>
      </c>
      <c r="D45" s="65">
        <f>LOOKUP(ROUNDDOWN(F$24/5, 0)*5,'2025ER'!$D$23:$D$38,'2025ER'!$H$23:$H$38)+((F$24-ROUNDDOWN(F$24/5, 0)*5)/5)*(LOOKUP(ROUNDUP(F$24/5, 0)*5,'2025ER'!$D$23:$D$38,'2025ER'!$H$23:$H$38)-LOOKUP(ROUNDDOWN(F$24/5, 0)*5,'2025ER'!$D$23:$D$38,'2025ER'!$H$23:$H$38))</f>
        <v>0.14644426876365207</v>
      </c>
      <c r="E45" s="65">
        <f>LOOKUP(ROUNDDOWN(F$24/5, 0)*5,'2035ER'!$D$23:$D$38,'2035ER'!$H$23:$H$38)+((F$24-ROUNDDOWN(F$24/5, 0)*5)/5)*(LOOKUP(ROUNDUP(F$24/5, 0)*5,'2035ER'!$D$23:$D$38,'2035ER'!$H$23:$H$38)-LOOKUP(ROUNDDOWN(F$24/5, 0)*5,'2035ER'!$D$23:$D$38,'2035ER'!$H$23:$H$38))</f>
        <v>1.8208312193201358E-2</v>
      </c>
      <c r="F45" s="65">
        <f t="shared" ref="F45:F57" si="2">IF( $F$7&gt;2035,E45,TREND(D45:E45, D$7:E$7, F$7))</f>
        <v>8.2326290478427211E-2</v>
      </c>
      <c r="G45" s="65">
        <f>LOOKUP(ROUNDDOWN(I$24/5, 0)*5,'2025ER'!$D$23:$D$38,'2025ER'!$H$23:$H$38)+((I$24-ROUNDDOWN(I$24/5, 0)*5)/5)*(LOOKUP(ROUNDUP(I$24/5, 0)*5,'2025ER'!$D$23:$D$38,'2025ER'!$H$23:$H$38)-LOOKUP(ROUNDDOWN(I$24/5, 0)*5,'2025ER'!$D$23:$D$38,'2025ER'!$H$23:$H$38))</f>
        <v>0.14644426876365207</v>
      </c>
      <c r="H45" s="65">
        <f>LOOKUP(ROUNDDOWN(I$24/5, 0)*5,'2035ER'!$D$23:$D$38,'2035ER'!$H$23:$H$38)+((I$24-ROUNDDOWN(I$24/5, 0)*5)/5)*(LOOKUP(ROUNDUP(I$24/5, 0)*5,'2035ER'!$D$23:$D$38,'2035ER'!$H$23:$H$38)-LOOKUP(ROUNDDOWN(I$24/5, 0)*5,'2035ER'!$D$23:$D$38,'2035ER'!$H$23:$H$38))</f>
        <v>1.8208312193201358E-2</v>
      </c>
      <c r="I45" s="65">
        <f t="shared" ref="I45:I56" si="3">IF(I$7&gt;2035,E45,TREND(G45:H45,G$7:H$7,I$7))</f>
        <v>8.2326290478427211E-2</v>
      </c>
      <c r="J45" s="16"/>
      <c r="K45" s="106"/>
    </row>
    <row r="46" spans="1:11" x14ac:dyDescent="0.35">
      <c r="A46" s="106"/>
      <c r="B46"/>
      <c r="C46" s="85" t="s">
        <v>122</v>
      </c>
      <c r="D46" s="65">
        <f>LOOKUP(ROUNDDOWN(F$24/5, 0)*5,'2025ER'!$D$40:$D$55,'2025ER'!$H$40:$H$55)+((F$24-ROUNDDOWN(F$24/5, 0)*5)/5)*(LOOKUP(ROUNDUP(F$24/5, 0)*5,'2025ER'!$D$40:$D$55,'2025ER'!$H$40:$H$55)-LOOKUP(ROUNDDOWN(F$24/5, 0)*5,'2025ER'!$D$40:$D$55,'2025ER'!$H$40:$H$55))</f>
        <v>3.1762233959980544E-3</v>
      </c>
      <c r="E46" s="65">
        <f>LOOKUP(ROUNDDOWN(F$24/5, 0)*5,'2035ER'!$D$40:$D$55,'2035ER'!$H$40:$H$55)+((F$24-ROUNDDOWN(F$24/5, 0)*5)/5)*(LOOKUP(ROUNDUP(F$24/5, 0)*5,'2035ER'!$D$40:$D$55,'2035ER'!$H$40:$H$55)-LOOKUP(ROUNDDOWN(F$24/5, 0)*5,'2035ER'!$D$40:$D$55,'2035ER'!$H$40:$H$55))</f>
        <v>1.1333281904774423E-3</v>
      </c>
      <c r="F46" s="65">
        <f t="shared" si="2"/>
        <v>2.1547757932377509E-3</v>
      </c>
      <c r="G46" s="65">
        <f>LOOKUP(ROUNDDOWN(I$24/5, 0)*5,'2025ER'!$D$40:$D$55,'2025ER'!$H$40:$H$55)+((I$24-ROUNDDOWN(I$24/5, 0)*5)/5)*(LOOKUP(ROUNDUP(I$24/5, 0)*5,'2025ER'!$D$40:$D$55,'2025ER'!$H$40:$H$55)-LOOKUP(ROUNDDOWN(I$24/5, 0)*5,'2025ER'!$D$40:$D$55,'2025ER'!$H$40:$H$55))</f>
        <v>3.1762233959980544E-3</v>
      </c>
      <c r="H46" s="65">
        <f>LOOKUP(ROUNDDOWN(I$24/5, 0)*5,'2035ER'!$D$40:$D$55,'2035ER'!$H$40:$H$55)+((I$24-ROUNDDOWN(I$24/5, 0)*5)/5)*(LOOKUP(ROUNDUP(I$24/5, 0)*5,'2035ER'!$D$40:$D$55,'2035ER'!$H$40:$H$55)-LOOKUP(ROUNDDOWN(I$24/5, 0)*5,'2035ER'!$D$40:$D$55,'2035ER'!$H$40:$H$55))</f>
        <v>1.1333281904774423E-3</v>
      </c>
      <c r="I46" s="65">
        <f t="shared" si="3"/>
        <v>2.1547757932377509E-3</v>
      </c>
      <c r="J46" s="16"/>
      <c r="K46" s="106"/>
    </row>
    <row r="47" spans="1:11" x14ac:dyDescent="0.35">
      <c r="A47" s="106"/>
      <c r="B47"/>
      <c r="C47" s="85" t="s">
        <v>146</v>
      </c>
      <c r="D47" s="65">
        <f>LOOKUP(ROUNDDOWN(F$24/5, 0)*5,'2025ER'!$D$57:$D$72,'2025ER'!$H$57:$H$72)+((F$24-ROUNDDOWN(F$24/5, 0)*5)/5)*(LOOKUP(ROUNDUP(F$24/5, 0)*5,'2025ER'!$D$57:$D$72,'2025ER'!$H$57:$H$72)-LOOKUP(ROUNDDOWN(F$24/5, 0)*5,'2025ER'!$D$57:$D$72,'2025ER'!$H$57:$H$72))</f>
        <v>0.14438654688420624</v>
      </c>
      <c r="E47" s="65">
        <f>LOOKUP(ROUNDDOWN(F$24/5, 0)*5,'2035ER'!$D$57:$D$72,'2035ER'!$H$57:$H$72)+((F$24-ROUNDDOWN(F$24/5, 0)*5)/5)*(LOOKUP(ROUNDUP(F$24/5, 0)*5,'2035ER'!$D$57:$D$72,'2035ER'!$H$57:$H$72)-LOOKUP(ROUNDDOWN(F$24/5, 0)*5,'2035ER'!$D$57:$D$72,'2035ER'!$H$57:$H$72))</f>
        <v>1.8048456591464267E-2</v>
      </c>
      <c r="F47" s="65">
        <f t="shared" si="2"/>
        <v>8.1217501737835818E-2</v>
      </c>
      <c r="G47" s="65">
        <f>LOOKUP(ROUNDDOWN(I$24/5, 0)*5,'2025ER'!$D$57:$D$72,'2025ER'!$H$57:$H$72)+((I$24-ROUNDDOWN(I$24/5, 0)*5)/5)*(LOOKUP(ROUNDUP(I$24/5, 0)*5,'2025ER'!$D$57:$D$72,'2025ER'!$H$57:$H$72)-LOOKUP(ROUNDDOWN(I$24/5, 0)*5,'2025ER'!$D$57:$D$72,'2025ER'!$H$57:$H$72))</f>
        <v>0.14438654688420624</v>
      </c>
      <c r="H47" s="65">
        <f>LOOKUP(ROUNDDOWN(I$24/5, 0)*5,'2035ER'!$D$57:$D$72,'2035ER'!$H$57:$H$72)+((I$24-ROUNDDOWN(I$24/5, 0)*5)/5)*(LOOKUP(ROUNDUP(I$24/5, 0)*5,'2035ER'!$D$57:$D$72,'2035ER'!$H$57:$H$72)-LOOKUP(ROUNDDOWN(I$24/5, 0)*5,'2035ER'!$D$57:$D$72,'2035ER'!$H$57:$H$72))</f>
        <v>1.8048456591464267E-2</v>
      </c>
      <c r="I47" s="65">
        <f t="shared" si="3"/>
        <v>8.1217501737835818E-2</v>
      </c>
      <c r="J47" s="16"/>
      <c r="K47" s="106"/>
    </row>
    <row r="48" spans="1:11" x14ac:dyDescent="0.35">
      <c r="A48" s="106"/>
      <c r="B48"/>
      <c r="C48" s="85" t="s">
        <v>144</v>
      </c>
      <c r="D48" s="65">
        <f>LOOKUP(ROUNDDOWN(F$24/5, 0)*5,'2025ER'!$D$74:$D$89,'2025ER'!$H$74:$H$89)+((F$24-ROUNDDOWN(F$24/5, 0)*5)/5)*(LOOKUP(ROUNDUP(F$24/5, 0)*5,'2025ER'!$D$74:$D$89,'2025ER'!$H$74:$H$89)-LOOKUP(ROUNDDOWN(F$24/5, 0)*5,'2025ER'!$D$74:$D$89,'2025ER'!$H$74:$H$89))</f>
        <v>0.10972616483903178</v>
      </c>
      <c r="E48" s="65">
        <f>LOOKUP(ROUNDDOWN(F$24/5, 0)*5,'2035ER'!$D$74:$D$89,'2035ER'!$H$74:$H$89)+((F$24-ROUNDDOWN(F$24/5, 0)*5)/5)*(LOOKUP(ROUNDUP(F$24/5, 0)*5,'2035ER'!$D$74:$D$89,'2035ER'!$H$74:$H$89)-LOOKUP(ROUNDDOWN(F$24/5, 0)*5,'2035ER'!$D$74:$D$89,'2035ER'!$H$74:$H$89))</f>
        <v>5.0393627182708949E-2</v>
      </c>
      <c r="F48" s="65">
        <f t="shared" si="2"/>
        <v>8.0059896010871157E-2</v>
      </c>
      <c r="G48" s="65">
        <f>LOOKUP(ROUNDDOWN(I$24/5, 0)*5,'2025ER'!$D$74:$D$89,'2025ER'!$H$74:$H$89)+((I$24-ROUNDDOWN(I$24/5, 0)*5)/5)*(LOOKUP(ROUNDUP(I$24/5, 0)*5,'2025ER'!$D$74:$D$89,'2025ER'!$H$74:$H$89)-LOOKUP(ROUNDDOWN(I$24/5, 0)*5,'2025ER'!$D$74:$D$89,'2025ER'!$H$74:$H$89))</f>
        <v>0.10972616483903178</v>
      </c>
      <c r="H48" s="65">
        <f>LOOKUP(ROUNDDOWN(I$24/5, 0)*5,'2035ER'!$D$74:$D$89,'2035ER'!$H$74:$H$89)+((I$24-ROUNDDOWN(I$24/5, 0)*5)/5)*(LOOKUP(ROUNDUP(I$24/5, 0)*5,'2035ER'!$D$74:$D$89,'2035ER'!$H$74:$H$89)-LOOKUP(ROUNDDOWN(I$24/5, 0)*5,'2035ER'!$D$74:$D$89,'2035ER'!$H$74:$H$89))</f>
        <v>5.0393627182708949E-2</v>
      </c>
      <c r="I48" s="65">
        <f t="shared" si="3"/>
        <v>8.0059896010871157E-2</v>
      </c>
      <c r="J48" s="16"/>
      <c r="K48" s="106"/>
    </row>
    <row r="49" spans="1:11" x14ac:dyDescent="0.35">
      <c r="A49" s="106"/>
      <c r="B49"/>
      <c r="C49" s="85" t="s">
        <v>383</v>
      </c>
      <c r="D49" s="65">
        <f>LOOKUP(ROUNDDOWN(F$24/5, 0)*5,'2025ER'!$D$91:$D$106,'2025ER'!$H$91:$H$106)+((F$24-ROUNDDOWN(F$24/5, 0)*5)/5)*(LOOKUP(ROUNDUP(F$24/5, 0)*5,'2025ER'!$D$91:$D$106,'2025ER'!$H$91:$H$106)-LOOKUP(ROUNDDOWN(F$24/5, 0)*5,'2025ER'!$D$91:$D$106,'2025ER'!$H$91:$H$106))</f>
        <v>2.234086241226574E-3</v>
      </c>
      <c r="E49" s="65">
        <f>LOOKUP(ROUNDDOWN(F$24/5, 0)*5,'2035ER'!$D$91:$D$106,'2035ER'!$H$91:$H$106)+((F$24-ROUNDDOWN(F$24/5, 0)*5)/5)*(LOOKUP(ROUNDUP(F$24/5, 0)*5,'2035ER'!$D$91:$D$106,'2035ER'!$H$91:$H$106)-LOOKUP(ROUNDDOWN(F$24/5, 0)*5,'2035ER'!$D$91:$D$106,'2035ER'!$H$91:$H$106))</f>
        <v>1.2323015512907183E-3</v>
      </c>
      <c r="F49" s="65">
        <f t="shared" si="2"/>
        <v>1.7331938962586446E-3</v>
      </c>
      <c r="G49" s="65">
        <f>LOOKUP(ROUNDDOWN(I$24/5, 0)*5,'2025ER'!$D$91:$D$106,'2025ER'!$H$91:$H$106)+((I$24-ROUNDDOWN(I$24/5, 0)*5)/5)*(LOOKUP(ROUNDUP(I$24/5, 0)*5,'2025ER'!$D$91:$D$106,'2025ER'!$H$91:$H$106)-LOOKUP(ROUNDDOWN(I$24/5, 0)*5,'2025ER'!$D$91:$D$106,'2025ER'!$H$91:$H$106))</f>
        <v>2.234086241226574E-3</v>
      </c>
      <c r="H49" s="65">
        <f>LOOKUP(ROUNDDOWN(I$24/5, 0)*5,'2035ER'!$D$91:$D$106,'2035ER'!$H$91:$H$106)+((I$24-ROUNDDOWN(I$24/5, 0)*5)/5)*(LOOKUP(ROUNDUP(I$24/5, 0)*5,'2035ER'!$D$91:$D$106,'2035ER'!$H$91:$H$106)-LOOKUP(ROUNDDOWN(I$24/5, 0)*5,'2035ER'!$D$91:$D$106,'2035ER'!$H$91:$H$106))</f>
        <v>1.2323015512907183E-3</v>
      </c>
      <c r="I49" s="65">
        <f t="shared" si="3"/>
        <v>1.7331938962586446E-3</v>
      </c>
      <c r="J49" s="16"/>
      <c r="K49" s="106"/>
    </row>
    <row r="50" spans="1:11" x14ac:dyDescent="0.35">
      <c r="A50" s="106"/>
      <c r="B50"/>
      <c r="C50" s="85" t="s">
        <v>384</v>
      </c>
      <c r="D50" s="65">
        <f>LOOKUP(ROUNDDOWN(F$24/5, 0)*5,'2025ER'!$D$108:$D$123,'2025ER'!$H$108:$H$123)+((F$24-ROUNDDOWN(F$24/5, 0)*5)/5)*(LOOKUP(ROUNDUP(F$24/5, 0)*5,'2025ER'!$D$108:$D$123,'2025ER'!$H$108:$H$123)-LOOKUP(ROUNDDOWN(F$24/5, 0)*5,'2025ER'!$D$108:$D$123,'2025ER'!$H$108:$H$123))</f>
        <v>3.1131748142217335</v>
      </c>
      <c r="E50" s="65">
        <f>LOOKUP(ROUNDDOWN(F$24/5, 0)*5,'2035ER'!$D$108:$D$123,'2035ER'!$H$108:$H$123)+((F$24-ROUNDDOWN(F$24/5, 0)*5)/5)*(LOOKUP(ROUNDUP(F$24/5, 0)*5,'2035ER'!$D$108:$D$123,'2035ER'!$H$108:$H$123)-LOOKUP(ROUNDDOWN(F$24/5, 0)*5,'2035ER'!$D$108:$D$123,'2035ER'!$H$108:$H$123))</f>
        <v>1.3866791932720206</v>
      </c>
      <c r="F50" s="65">
        <f t="shared" si="2"/>
        <v>2.2499270037469046</v>
      </c>
      <c r="G50" s="65">
        <f>LOOKUP(ROUNDDOWN(I$24/5, 0)*5,'2025ER'!$D$108:$D$123,'2025ER'!$H$108:$H$123)+((I$24-ROUNDDOWN(I$24/5, 0)*5)/5)*(LOOKUP(ROUNDUP(I$24/5, 0)*5,'2025ER'!$D$108:$D$123,'2025ER'!$H$108:$H$123)-LOOKUP(ROUNDDOWN(I$24/5, 0)*5,'2025ER'!$D$108:$D$123,'2025ER'!$H$108:$H$123))</f>
        <v>3.1131748142217335</v>
      </c>
      <c r="H50" s="65">
        <f>LOOKUP(ROUNDDOWN(I$24/5, 0)*5,'2035ER'!$D$108:$D$123,'2035ER'!$H$108:$H$123)+((I$24-ROUNDDOWN(I$24/5, 0)*5)/5)*(LOOKUP(ROUNDUP(I$24/5, 0)*5,'2035ER'!$D$108:$D$123,'2035ER'!$H$108:$H$123)-LOOKUP(ROUNDDOWN(I$24/5, 0)*5,'2035ER'!$D$108:$D$123,'2035ER'!$H$108:$H$123))</f>
        <v>1.3866791932720206</v>
      </c>
      <c r="I50" s="65">
        <f t="shared" si="3"/>
        <v>2.2499270037469046</v>
      </c>
      <c r="J50" s="16"/>
      <c r="K50" s="106"/>
    </row>
    <row r="51" spans="1:11" x14ac:dyDescent="0.35">
      <c r="A51" s="106"/>
      <c r="B51"/>
      <c r="C51" s="85" t="s">
        <v>425</v>
      </c>
      <c r="D51" s="65">
        <f>LOOKUP(ROUNDDOWN(F$24/5, 0)*5,'2025ER'!$D$6:$D$21,'2025ER'!$W$6:$W$21)+((F$24-ROUNDDOWN(F$24/5, 0)*5)/5)*(LOOKUP(ROUNDUP(F$24/5, 0)*5,'2025ER'!$D$6:$D$21,'2025ER'!$W$6:$W$21)-LOOKUP(ROUNDDOWN(F$24/5, 0)*5,'2025ER'!$D$6:$D$21,'2025ER'!$W$6:$W$21))</f>
        <v>1769.893664222644</v>
      </c>
      <c r="E51" s="65">
        <f>LOOKUP(ROUNDDOWN(F$24/5, 0)*5,'2035ER'!$D$6:$D$21,'2035ER'!$W$6:$W$21)+((F$24-ROUNDDOWN(F$24/5, 0)*5)/5)*(LOOKUP(ROUNDUP(F$24/5, 0)*5,'2035ER'!$D$6:$D$21,'2035ER'!$W$6:$W$21)-LOOKUP(ROUNDDOWN(F$24/5, 0)*5,'2035ER'!$D$6:$D$21,'2035ER'!$W$6:$W$21))</f>
        <v>1451.0723122914376</v>
      </c>
      <c r="F51" s="65">
        <f t="shared" si="2"/>
        <v>1610.4829882570339</v>
      </c>
      <c r="G51" s="65">
        <f>LOOKUP(ROUNDDOWN(I$24/5, 0)*5,'2025ER'!$D$6:$D$21,'2025ER'!$W$6:$W$21)+((I$24-ROUNDDOWN(I$24/5, 0)*5)/5)*(LOOKUP(ROUNDUP(I$24/5, 0)*5,'2025ER'!$D$6:$D$21,'2025ER'!$W$6:$W$21)-LOOKUP(ROUNDDOWN(I$24/5, 0)*5,'2025ER'!$D$6:$D$21,'2025ER'!$W$6:$W$21))</f>
        <v>1769.893664222644</v>
      </c>
      <c r="H51" s="65">
        <f>LOOKUP(ROUNDDOWN(I$24/5, 0)*5,'2035ER'!$D$6:$D$21,'2035ER'!$W$6:$W$21)+((I$24-ROUNDDOWN(I$24/5, 0)*5)/5)*(LOOKUP(ROUNDUP(I$24/5, 0)*5,'2035ER'!$D$6:$D$21,'2035ER'!$W$6:$W$21)-LOOKUP(ROUNDDOWN(I$24/5, 0)*5,'2035ER'!$D$6:$D$21,'2035ER'!$W$6:$W$21))</f>
        <v>1451.0723122914376</v>
      </c>
      <c r="I51" s="65">
        <f t="shared" si="3"/>
        <v>1610.4829882570339</v>
      </c>
      <c r="J51" s="16"/>
      <c r="K51" s="106"/>
    </row>
    <row r="52" spans="1:11" x14ac:dyDescent="0.35">
      <c r="A52" s="106"/>
      <c r="B52"/>
      <c r="C52" s="85" t="s">
        <v>134</v>
      </c>
      <c r="D52" s="65">
        <f>LOOKUP(ROUNDDOWN(F$24/5, 0)*5,'2025ER'!$D$23:$D$38,'2025ER'!$W$23:$W$38)+((F$24-ROUNDDOWN(F$24/5, 0)*5)/5)*(LOOKUP(ROUNDUP(F$24/5, 0)*5,'2025ER'!$D$23:$D$38,'2025ER'!$W$23:$W$38)-LOOKUP(ROUNDDOWN(F$24/5, 0)*5,'2025ER'!$D$23:$D$38,'2025ER'!$W$23:$W$38))</f>
        <v>5.9307165843312637</v>
      </c>
      <c r="E52" s="65">
        <f>LOOKUP(ROUNDDOWN(F$24/5, 0)*5,'2035ER'!$D$23:$D$38,'2035ER'!$W$23:$W$38)+((F$24-ROUNDDOWN(F$24/5, 0)*5)/5)*(LOOKUP(ROUNDUP(F$24/5, 0)*5,'2035ER'!$D$23:$D$38,'2035ER'!$W$23:$W$38)-LOOKUP(ROUNDDOWN(F$24/5, 0)*5,'2035ER'!$D$23:$D$38,'2035ER'!$W$23:$W$38))</f>
        <v>2.4633561199578167</v>
      </c>
      <c r="F52" s="65">
        <f t="shared" si="2"/>
        <v>4.1970363521445506</v>
      </c>
      <c r="G52" s="65">
        <f>LOOKUP(ROUNDDOWN(I$24/5, 0)*5,'2025ER'!$D$23:$D$38,'2025ER'!$W$23:$W$38)+((I$24-ROUNDDOWN(I$24/5, 0)*5)/5)*(LOOKUP(ROUNDUP(I$24/5, 0)*5,'2025ER'!$D$23:$D$38,'2025ER'!$W$23:$W$38)-LOOKUP(ROUNDDOWN(I$24/5, 0)*5,'2025ER'!$D$23:$D$38,'2025ER'!$W$23:$W$38))</f>
        <v>5.9307165843312637</v>
      </c>
      <c r="H52" s="65">
        <f>LOOKUP(ROUNDDOWN(I$24/5, 0)*5,'2035ER'!$D$23:$D$38,'2035ER'!$W$23:$W$38)+((I$24-ROUNDDOWN(I$24/5, 0)*5)/5)*(LOOKUP(ROUNDUP(I$24/5, 0)*5,'2035ER'!$D$23:$D$38,'2035ER'!$W$23:$W$38)-LOOKUP(ROUNDDOWN(I$24/5, 0)*5,'2035ER'!$D$23:$D$38,'2035ER'!$W$23:$W$38))</f>
        <v>2.4633561199578167</v>
      </c>
      <c r="I52" s="65">
        <f t="shared" si="3"/>
        <v>4.1970363521445506</v>
      </c>
      <c r="J52" s="16"/>
      <c r="K52" s="106"/>
    </row>
    <row r="53" spans="1:11" x14ac:dyDescent="0.35">
      <c r="A53" s="106"/>
      <c r="B53"/>
      <c r="C53" s="85" t="s">
        <v>133</v>
      </c>
      <c r="D53" s="65">
        <f>LOOKUP(ROUNDDOWN(F$24/5, 0)*5,'2025ER'!$D$40:$D$55,'2025ER'!$W$40:$W$55)+((F$24-ROUNDDOWN(F$24/5, 0)*5)/5)*(LOOKUP(ROUNDUP(F$24/5, 0)*5,'2025ER'!$D$40:$D$55,'2025ER'!$W$40:$W$55)-LOOKUP(ROUNDDOWN(F$24/5, 0)*5,'2025ER'!$D$40:$D$55,'2025ER'!$W$40:$W$55))</f>
        <v>0.16243329371852908</v>
      </c>
      <c r="E53" s="65">
        <f>LOOKUP(ROUNDDOWN(F$24/5, 0)*5,'2035ER'!$D$40:$D$55,'2035ER'!$W$40:$W$55)+((F$24-ROUNDDOWN(F$24/5, 0)*5)/5)*(LOOKUP(ROUNDUP(F$24/5, 0)*5,'2035ER'!$D$40:$D$55,'2035ER'!$W$40:$W$55)-LOOKUP(ROUNDDOWN(F$24/5, 0)*5,'2035ER'!$D$40:$D$55,'2035ER'!$W$40:$W$55))</f>
        <v>2.6504348562857424E-2</v>
      </c>
      <c r="F53" s="65">
        <f t="shared" si="2"/>
        <v>9.4468821140694104E-2</v>
      </c>
      <c r="G53" s="65">
        <f>LOOKUP(ROUNDDOWN(I$24/5, 0)*5,'2025ER'!$D$40:$D$55,'2025ER'!$W$40:$W$55)+((I$24-ROUNDDOWN(I$24/5, 0)*5)/5)*(LOOKUP(ROUNDUP(I$24/5, 0)*5,'2025ER'!$D$40:$D$55,'2025ER'!$W$40:$W$55)-LOOKUP(ROUNDDOWN(I$24/5, 0)*5,'2025ER'!$D$40:$D$55,'2025ER'!$W$40:$W$55))</f>
        <v>0.16243329371852908</v>
      </c>
      <c r="H53" s="65">
        <f>LOOKUP(ROUNDDOWN(I$24/5, 0)*5,'2035ER'!$D$40:$D$55,'2035ER'!$W$40:$W$55)+((I$24-ROUNDDOWN(I$24/5, 0)*5)/5)*(LOOKUP(ROUNDUP(I$24/5, 0)*5,'2035ER'!$D$40:$D$55,'2035ER'!$W$40:$W$55)-LOOKUP(ROUNDDOWN(I$24/5, 0)*5,'2035ER'!$D$40:$D$55,'2035ER'!$W$40:$W$55))</f>
        <v>2.6504348562857424E-2</v>
      </c>
      <c r="I53" s="65">
        <f t="shared" si="3"/>
        <v>9.4468821140694104E-2</v>
      </c>
      <c r="J53" s="16"/>
      <c r="K53" s="106"/>
    </row>
    <row r="54" spans="1:11" x14ac:dyDescent="0.35">
      <c r="A54" s="106"/>
      <c r="B54"/>
      <c r="C54" s="85" t="s">
        <v>147</v>
      </c>
      <c r="D54" s="65">
        <f>LOOKUP(ROUNDDOWN(F$24/5, 0)*5,'2025ER'!$D$57:$D$72,'2025ER'!$W$57:$W$72)+((F$24-ROUNDDOWN(F$24/5, 0)*5)/5)*(LOOKUP(ROUNDUP(F$24/5, 0)*5,'2025ER'!$D$57:$D$72,'2025ER'!$W$57:$W$72)-LOOKUP(ROUNDDOWN(F$24/5, 0)*5,'2025ER'!$D$57:$D$72,'2025ER'!$W$57:$W$72))</f>
        <v>5.6836953901308966</v>
      </c>
      <c r="E54" s="65">
        <f>LOOKUP(ROUNDDOWN(F$24/5, 0)*5,'2035ER'!$D$57:$D$72,'2035ER'!$W$57:$W$72)+((F$24-ROUNDDOWN(F$24/5, 0)*5)/5)*(LOOKUP(ROUNDUP(F$24/5, 0)*5,'2035ER'!$D$57:$D$72,'2035ER'!$W$57:$W$72)-LOOKUP(ROUNDDOWN(F$24/5, 0)*5,'2035ER'!$D$57:$D$72,'2035ER'!$W$57:$W$72))</f>
        <v>2.3199908804359386</v>
      </c>
      <c r="F54" s="65">
        <f t="shared" si="2"/>
        <v>4.0018431352833659</v>
      </c>
      <c r="G54" s="65">
        <f>LOOKUP(ROUNDDOWN(I$24/5, 0)*5,'2025ER'!$D$57:$D$72,'2025ER'!$W$57:$W$72)+((I$24-ROUNDDOWN(I$24/5, 0)*5)/5)*(LOOKUP(ROUNDUP(I$24/5, 0)*5,'2025ER'!$D$57:$D$72,'2025ER'!$W$57:$W$72)-LOOKUP(ROUNDDOWN(I$24/5, 0)*5,'2025ER'!$D$57:$D$72,'2025ER'!$W$57:$W$72))</f>
        <v>5.6836953901308966</v>
      </c>
      <c r="H54" s="65">
        <f>LOOKUP(ROUNDDOWN(I$24/5, 0)*5,'2035ER'!$D$57:$D$72,'2035ER'!$W$57:$W$72)+((I$24-ROUNDDOWN(I$24/5, 0)*5)/5)*(LOOKUP(ROUNDUP(I$24/5, 0)*5,'2035ER'!$D$57:$D$72,'2035ER'!$W$57:$W$72)-LOOKUP(ROUNDDOWN(I$24/5, 0)*5,'2035ER'!$D$57:$D$72,'2035ER'!$W$57:$W$72))</f>
        <v>2.3199908804359386</v>
      </c>
      <c r="I54" s="65">
        <f t="shared" si="3"/>
        <v>4.0018431352833659</v>
      </c>
      <c r="J54" s="16"/>
      <c r="K54" s="106"/>
    </row>
    <row r="55" spans="1:11" x14ac:dyDescent="0.35">
      <c r="A55" s="106"/>
      <c r="B55"/>
      <c r="C55" s="85" t="s">
        <v>145</v>
      </c>
      <c r="D55" s="65">
        <f>LOOKUP(ROUNDDOWN(F$24/5, 0)*5,'2025ER'!$D$74:$D$89,'2025ER'!$W$74:$W$89)+((F$24-ROUNDDOWN(F$24/5, 0)*5)/5)*(LOOKUP(ROUNDUP(F$24/5, 0)*5,'2025ER'!$D$74:$D$89,'2025ER'!$W$74:$W$89)-LOOKUP(ROUNDDOWN(F$24/5, 0)*5,'2025ER'!$D$74:$D$89,'2025ER'!$W$74:$W$89))</f>
        <v>0.28538859221362523</v>
      </c>
      <c r="E55" s="65">
        <f>LOOKUP(ROUNDDOWN(F$24/5, 0)*5,'2035ER'!$D$74:$D$89,'2035ER'!$W$74:$W$89)+((F$24-ROUNDDOWN(F$24/5, 0)*5)/5)*(LOOKUP(ROUNDUP(F$24/5, 0)*5,'2035ER'!$D$74:$D$89,'2035ER'!$W$74:$W$89)-LOOKUP(ROUNDDOWN(F$24/5, 0)*5,'2035ER'!$D$74:$D$89,'2035ER'!$W$74:$W$89))</f>
        <v>0.13046215719158449</v>
      </c>
      <c r="F55" s="65">
        <f t="shared" si="2"/>
        <v>0.20792537470260442</v>
      </c>
      <c r="G55" s="65">
        <f>LOOKUP(ROUNDDOWN(I$24/5, 0)*5,'2025ER'!$D$74:$D$89,'2025ER'!$W$74:$W$89)+((I$24-ROUNDDOWN(I$24/5, 0)*5)/5)*(LOOKUP(ROUNDUP(I$24/5, 0)*5,'2025ER'!$D$74:$D$89,'2025ER'!$W$74:$W$89)-LOOKUP(ROUNDDOWN(I$24/5, 0)*5,'2025ER'!$D$74:$D$89,'2025ER'!$W$74:$W$89))</f>
        <v>0.28538859221362523</v>
      </c>
      <c r="H55" s="65">
        <f>LOOKUP(ROUNDDOWN(I$24/5, 0)*5,'2035ER'!$D$74:$D$89,'2035ER'!$W$74:$W$89)+((I$24-ROUNDDOWN(I$24/5, 0)*5)/5)*(LOOKUP(ROUNDUP(I$24/5, 0)*5,'2035ER'!$D$74:$D$89,'2035ER'!$W$74:$W$89)-LOOKUP(ROUNDDOWN(I$24/5, 0)*5,'2035ER'!$D$74:$D$89,'2035ER'!$W$74:$W$89))</f>
        <v>0.13046215719158449</v>
      </c>
      <c r="I55" s="65">
        <f t="shared" si="3"/>
        <v>0.20792537470260442</v>
      </c>
      <c r="J55" s="16"/>
      <c r="K55" s="106"/>
    </row>
    <row r="56" spans="1:11" x14ac:dyDescent="0.35">
      <c r="A56" s="106"/>
      <c r="B56"/>
      <c r="C56" s="85" t="s">
        <v>387</v>
      </c>
      <c r="D56" s="65">
        <f>LOOKUP(ROUNDDOWN(F$24/5, 0)*5,'2025ER'!$D$91:$D$106,'2025ER'!$W$91:$W$106)+((F$24-ROUNDDOWN(F$24/5, 0)*5)/5)*(LOOKUP(ROUNDUP(F$24/5, 0)*5,'2025ER'!$D$91:$D$106,'2025ER'!$W$91:$W$106)-LOOKUP(ROUNDDOWN(F$24/5, 0)*5,'2025ER'!$D$91:$D$106,'2025ER'!$W$91:$W$106))</f>
        <v>6.0491271935017863E-3</v>
      </c>
      <c r="E56" s="65">
        <f>LOOKUP(ROUNDDOWN(F$24/5, 0)*5,'2035ER'!$D$91:$D$106,'2035ER'!$W$91:$W$106)+((F$24-ROUNDDOWN(F$24/5, 0)*5)/5)*(LOOKUP(ROUNDUP(F$24/5, 0)*5,'2035ER'!$D$91:$D$106,'2035ER'!$W$91:$W$106)-LOOKUP(ROUNDDOWN(F$24/5, 0)*5,'2035ER'!$D$91:$D$106,'2035ER'!$W$91:$W$106))</f>
        <v>4.8875657247052567E-3</v>
      </c>
      <c r="F56" s="65">
        <f t="shared" si="2"/>
        <v>5.468346459103518E-3</v>
      </c>
      <c r="G56" s="65">
        <f>LOOKUP(ROUNDDOWN(I$24/5, 0)*5,'2025ER'!$D$91:$D$106,'2025ER'!$W$91:$W$106)+((I$24-ROUNDDOWN(I$24/5, 0)*5)/5)*(LOOKUP(ROUNDUP(I$24/5, 0)*5,'2025ER'!$D$91:$D$106,'2025ER'!$W$91:$W$106)-LOOKUP(ROUNDDOWN(I$24/5, 0)*5,'2025ER'!$D$91:$D$106,'2025ER'!$W$91:$W$106))</f>
        <v>6.0491271935017863E-3</v>
      </c>
      <c r="H56" s="65">
        <f>LOOKUP(ROUNDDOWN(I$24/5, 0)*5,'2035ER'!$D$91:$D$106,'2035ER'!$W$91:$W$106)+((I$24-ROUNDDOWN(I$24/5, 0)*5)/5)*(LOOKUP(ROUNDUP(I$24/5, 0)*5,'2035ER'!$D$91:$D$106,'2035ER'!$W$91:$W$106)-LOOKUP(ROUNDDOWN(I$24/5, 0)*5,'2035ER'!$D$91:$D$106,'2035ER'!$W$91:$W$106))</f>
        <v>4.8875657247052567E-3</v>
      </c>
      <c r="I56" s="65">
        <f t="shared" si="3"/>
        <v>5.468346459103518E-3</v>
      </c>
      <c r="J56" s="16"/>
      <c r="K56" s="106"/>
    </row>
    <row r="57" spans="1:11" x14ac:dyDescent="0.35">
      <c r="A57" s="106"/>
      <c r="B57"/>
      <c r="C57" s="85" t="s">
        <v>388</v>
      </c>
      <c r="D57" s="65">
        <f>LOOKUP(ROUNDDOWN(F$24/5, 0)*5,'2025ER'!$D$108:$D$123,'2025ER'!$W$108:$W$123)+((F$24-ROUNDDOWN(F$24/5, 0)*5)/5)*(LOOKUP(ROUNDUP(F$24/5, 0)*5,'2025ER'!$D$108:$D$123,'2025ER'!$W$108:$W$123)-LOOKUP(ROUNDDOWN(F$24/5, 0)*5,'2025ER'!$D$108:$D$123,'2025ER'!$W$108:$W$123))</f>
        <v>3.4403566559656102</v>
      </c>
      <c r="E57" s="65">
        <f>LOOKUP(ROUNDDOWN(F$24/5, 0)*5,'2035ER'!$D$108:$D$123,'2035ER'!$W$108:$W$123)+((F$24-ROUNDDOWN(F$24/5, 0)*5)/5)*(LOOKUP(ROUNDUP(F$24/5, 0)*5,'2035ER'!$D$108:$D$123,'2035ER'!$W$108:$W$123)-LOOKUP(ROUNDDOWN(F$24/5, 0)*5,'2035ER'!$D$108:$D$123,'2035ER'!$W$108:$W$123))</f>
        <v>2.9179070042333204</v>
      </c>
      <c r="F57" s="65">
        <f t="shared" si="2"/>
        <v>3.1791318300994647</v>
      </c>
      <c r="G57" s="65">
        <f>LOOKUP(ROUNDDOWN(I$24/5, 0)*5,'2025ER'!$D$108:$D$123,'2025ER'!$W$108:$W$123)+((I$24-ROUNDDOWN(I$24/5, 0)*5)/5)*(LOOKUP(ROUNDUP(I$24/5, 0)*5,'2025ER'!$D$108:$D$123,'2025ER'!$W$108:$W$123)-LOOKUP(ROUNDDOWN(I$24/5, 0)*5,'2025ER'!$D$108:$D$123,'2025ER'!$W$108:$W$123))</f>
        <v>3.4403566559656102</v>
      </c>
      <c r="H57" s="65">
        <f>LOOKUP(ROUNDDOWN(I$24/5, 0)*5,'2035ER'!$D$108:$D$123,'2035ER'!$W$108:$W$123)+((I$24-ROUNDDOWN(I$24/5, 0)*5)/5)*(LOOKUP(ROUNDUP(I$24/5, 0)*5,'2035ER'!$D$108:$D$123,'2035ER'!$W$108:$W$123)-LOOKUP(ROUNDDOWN(I$24/5, 0)*5,'2035ER'!$D$108:$D$123,'2035ER'!$W$108:$W$123))</f>
        <v>2.9179070042333204</v>
      </c>
      <c r="I57" s="65">
        <f>IF(I$7&gt;2035,E57,TREND(G57:H57,G$7:H$7,I$7))</f>
        <v>3.1791318300994647</v>
      </c>
      <c r="J57" s="16"/>
      <c r="K57" s="106"/>
    </row>
    <row r="58" spans="1:11" x14ac:dyDescent="0.35">
      <c r="A58" s="106"/>
      <c r="B58"/>
      <c r="C58" s="137" t="s">
        <v>268</v>
      </c>
      <c r="D58" s="93"/>
      <c r="E58" s="93"/>
      <c r="F58" s="93"/>
      <c r="G58" s="93"/>
      <c r="H58" s="93"/>
      <c r="I58" s="93"/>
      <c r="J58" s="16"/>
      <c r="K58" s="106"/>
    </row>
    <row r="59" spans="1:11" x14ac:dyDescent="0.35">
      <c r="A59" s="106"/>
      <c r="B59"/>
      <c r="C59" s="85" t="s">
        <v>426</v>
      </c>
      <c r="D59" s="48"/>
      <c r="E59" s="48"/>
      <c r="F59" s="48">
        <f t="shared" ref="F59:F65" si="4">F$21*F29*F$16*F$17</f>
        <v>1023258850.6202506</v>
      </c>
      <c r="G59" s="48"/>
      <c r="H59" s="48"/>
      <c r="I59" s="48">
        <f t="shared" ref="I59:I65" si="5">I$21*I29*I$16*I$17</f>
        <v>1023258850.6202506</v>
      </c>
      <c r="J59" s="16"/>
      <c r="K59" s="106"/>
    </row>
    <row r="60" spans="1:11" x14ac:dyDescent="0.35">
      <c r="A60" s="106"/>
      <c r="B60"/>
      <c r="C60" s="85" t="s">
        <v>150</v>
      </c>
      <c r="D60" s="48"/>
      <c r="E60" s="48"/>
      <c r="F60" s="48">
        <f t="shared" si="4"/>
        <v>329966.74668114609</v>
      </c>
      <c r="G60" s="48"/>
      <c r="H60" s="48"/>
      <c r="I60" s="48">
        <f t="shared" si="5"/>
        <v>329966.74668114609</v>
      </c>
      <c r="J60" s="16"/>
      <c r="K60" s="106"/>
    </row>
    <row r="61" spans="1:11" x14ac:dyDescent="0.35">
      <c r="A61" s="106"/>
      <c r="B61"/>
      <c r="C61" s="85" t="s">
        <v>151</v>
      </c>
      <c r="D61" s="48"/>
      <c r="E61" s="48"/>
      <c r="F61" s="48">
        <f t="shared" si="4"/>
        <v>8659.9145341297826</v>
      </c>
      <c r="G61" s="48"/>
      <c r="H61" s="48"/>
      <c r="I61" s="48">
        <f t="shared" si="5"/>
        <v>8659.9145341297826</v>
      </c>
      <c r="J61" s="16"/>
      <c r="K61" s="106"/>
    </row>
    <row r="62" spans="1:11" x14ac:dyDescent="0.35">
      <c r="A62" s="106"/>
      <c r="B62"/>
      <c r="C62" s="85" t="s">
        <v>152</v>
      </c>
      <c r="D62" s="48"/>
      <c r="E62" s="48"/>
      <c r="F62" s="48">
        <f t="shared" si="4"/>
        <v>325857.67498485156</v>
      </c>
      <c r="G62" s="48"/>
      <c r="H62" s="48"/>
      <c r="I62" s="48">
        <f t="shared" si="5"/>
        <v>325857.67498485156</v>
      </c>
      <c r="J62" s="16"/>
      <c r="K62" s="106"/>
    </row>
    <row r="63" spans="1:11" x14ac:dyDescent="0.35">
      <c r="A63" s="106"/>
      <c r="B63"/>
      <c r="C63" s="85" t="s">
        <v>153</v>
      </c>
      <c r="D63" s="48"/>
      <c r="E63" s="48"/>
      <c r="F63" s="48">
        <f>F$21*F33*F$16*F$17</f>
        <v>325343.5009429307</v>
      </c>
      <c r="G63" s="48"/>
      <c r="H63" s="48"/>
      <c r="I63" s="48">
        <f t="shared" si="5"/>
        <v>325343.5009429307</v>
      </c>
      <c r="J63" s="16"/>
      <c r="K63" s="106"/>
    </row>
    <row r="64" spans="1:11" x14ac:dyDescent="0.35">
      <c r="A64" s="106"/>
      <c r="B64"/>
      <c r="C64" s="85" t="s">
        <v>427</v>
      </c>
      <c r="D64" s="48"/>
      <c r="E64" s="48"/>
      <c r="F64" s="48">
        <f t="shared" si="4"/>
        <v>6963.473676215317</v>
      </c>
      <c r="G64" s="48"/>
      <c r="H64" s="48"/>
      <c r="I64" s="48">
        <f t="shared" si="5"/>
        <v>6963.473676215317</v>
      </c>
      <c r="J64" s="16"/>
      <c r="K64" s="106"/>
    </row>
    <row r="65" spans="1:11" x14ac:dyDescent="0.35">
      <c r="A65" s="106"/>
      <c r="B65"/>
      <c r="C65" s="85" t="s">
        <v>428</v>
      </c>
      <c r="D65" s="48"/>
      <c r="E65" s="48"/>
      <c r="F65" s="48">
        <f t="shared" si="4"/>
        <v>8886607.9474091344</v>
      </c>
      <c r="G65" s="48"/>
      <c r="H65" s="48"/>
      <c r="I65" s="48">
        <f t="shared" si="5"/>
        <v>8886607.9474091344</v>
      </c>
      <c r="J65" s="16"/>
      <c r="K65" s="106"/>
    </row>
    <row r="66" spans="1:11" x14ac:dyDescent="0.35">
      <c r="A66" s="106"/>
      <c r="B66"/>
      <c r="C66" s="85" t="s">
        <v>429</v>
      </c>
      <c r="D66" s="48"/>
      <c r="E66" s="48"/>
      <c r="F66" s="48">
        <f t="shared" ref="F66:F72" si="6">F$22*F36*F$16*F$17</f>
        <v>194848612.14103934</v>
      </c>
      <c r="G66" s="48"/>
      <c r="H66" s="48"/>
      <c r="I66" s="48">
        <f t="shared" ref="I66:I72" si="7">I$22*I36*I$16*I$17</f>
        <v>194848612.14103934</v>
      </c>
      <c r="J66" s="16"/>
      <c r="K66" s="106"/>
    </row>
    <row r="67" spans="1:11" x14ac:dyDescent="0.35">
      <c r="A67" s="106"/>
      <c r="B67"/>
      <c r="C67" s="85" t="s">
        <v>430</v>
      </c>
      <c r="D67" s="48"/>
      <c r="E67" s="48"/>
      <c r="F67" s="48">
        <f t="shared" si="6"/>
        <v>518643.47827496205</v>
      </c>
      <c r="G67" s="48"/>
      <c r="H67" s="48"/>
      <c r="I67" s="48">
        <f t="shared" si="7"/>
        <v>518643.47827496205</v>
      </c>
      <c r="J67" s="16"/>
      <c r="K67" s="106"/>
    </row>
    <row r="68" spans="1:11" x14ac:dyDescent="0.35">
      <c r="A68" s="106"/>
      <c r="B68"/>
      <c r="C68" s="85" t="s">
        <v>431</v>
      </c>
      <c r="D68" s="48"/>
      <c r="E68" s="48"/>
      <c r="F68" s="48">
        <f t="shared" si="6"/>
        <v>11492.016011202963</v>
      </c>
      <c r="G68" s="48"/>
      <c r="H68" s="48"/>
      <c r="I68" s="48">
        <f t="shared" si="7"/>
        <v>11492.016011202963</v>
      </c>
      <c r="J68" s="16"/>
      <c r="K68" s="106"/>
    </row>
    <row r="69" spans="1:11" x14ac:dyDescent="0.35">
      <c r="A69" s="106"/>
      <c r="B69"/>
      <c r="C69" s="85" t="s">
        <v>432</v>
      </c>
      <c r="D69" s="48"/>
      <c r="E69" s="48"/>
      <c r="F69" s="48">
        <f t="shared" si="6"/>
        <v>494507.21123191668</v>
      </c>
      <c r="G69" s="48"/>
      <c r="H69" s="48"/>
      <c r="I69" s="48">
        <f t="shared" si="7"/>
        <v>494507.21123191668</v>
      </c>
      <c r="J69" s="16"/>
      <c r="K69" s="106"/>
    </row>
    <row r="70" spans="1:11" x14ac:dyDescent="0.35">
      <c r="A70" s="106"/>
      <c r="B70"/>
      <c r="C70" s="85" t="s">
        <v>433</v>
      </c>
      <c r="D70" s="48"/>
      <c r="E70" s="48"/>
      <c r="F70" s="48">
        <f t="shared" si="6"/>
        <v>25731.707892802548</v>
      </c>
      <c r="G70" s="48"/>
      <c r="H70" s="48"/>
      <c r="I70" s="48">
        <f t="shared" si="7"/>
        <v>25731.707892802548</v>
      </c>
      <c r="J70" s="16"/>
      <c r="K70" s="106"/>
    </row>
    <row r="71" spans="1:11" x14ac:dyDescent="0.35">
      <c r="A71" s="106"/>
      <c r="B71"/>
      <c r="C71" s="85" t="s">
        <v>434</v>
      </c>
      <c r="D71" s="65"/>
      <c r="E71" s="65"/>
      <c r="F71" s="48">
        <f t="shared" si="6"/>
        <v>661.41712022222634</v>
      </c>
      <c r="G71" s="65"/>
      <c r="H71" s="65"/>
      <c r="I71" s="48">
        <f t="shared" si="7"/>
        <v>661.41712022222634</v>
      </c>
      <c r="J71" s="16"/>
      <c r="K71" s="106"/>
    </row>
    <row r="72" spans="1:11" x14ac:dyDescent="0.35">
      <c r="A72" s="106"/>
      <c r="B72"/>
      <c r="C72" s="85" t="s">
        <v>435</v>
      </c>
      <c r="D72" s="65"/>
      <c r="E72" s="65"/>
      <c r="F72" s="48">
        <f t="shared" si="6"/>
        <v>395357.51011148421</v>
      </c>
      <c r="G72" s="65"/>
      <c r="H72" s="65"/>
      <c r="I72" s="48">
        <f t="shared" si="7"/>
        <v>395357.51011148421</v>
      </c>
      <c r="J72" s="16"/>
      <c r="K72" s="106"/>
    </row>
    <row r="73" spans="1:11" x14ac:dyDescent="0.35">
      <c r="A73" s="106"/>
      <c r="B73"/>
      <c r="C73" s="137" t="s">
        <v>269</v>
      </c>
      <c r="D73" s="93"/>
      <c r="E73" s="93"/>
      <c r="F73" s="93"/>
      <c r="G73" s="93"/>
      <c r="H73" s="93"/>
      <c r="I73" s="93"/>
      <c r="J73" s="16"/>
      <c r="K73" s="106"/>
    </row>
    <row r="74" spans="1:11" s="111" customFormat="1" x14ac:dyDescent="0.35">
      <c r="A74" s="106"/>
      <c r="B74"/>
      <c r="C74" s="85" t="s">
        <v>426</v>
      </c>
      <c r="D74" s="48"/>
      <c r="E74" s="48"/>
      <c r="F74" s="48">
        <f t="shared" ref="F74:F80" si="8">F$21*F44*F$16*F$17</f>
        <v>988144669.0988133</v>
      </c>
      <c r="G74" s="48"/>
      <c r="H74" s="48"/>
      <c r="I74" s="48">
        <f t="shared" ref="I74:I80" si="9">I$21*I44*I$16*I$17</f>
        <v>988144669.0988133</v>
      </c>
      <c r="J74" s="16"/>
      <c r="K74" s="106"/>
    </row>
    <row r="75" spans="1:11" s="111" customFormat="1" x14ac:dyDescent="0.35">
      <c r="A75" s="106"/>
      <c r="B75"/>
      <c r="C75" s="85" t="s">
        <v>150</v>
      </c>
      <c r="D75" s="48"/>
      <c r="E75" s="48"/>
      <c r="F75" s="48">
        <f t="shared" si="8"/>
        <v>319426.00705629756</v>
      </c>
      <c r="G75" s="48"/>
      <c r="H75" s="48"/>
      <c r="I75" s="48">
        <f t="shared" si="9"/>
        <v>319426.00705629756</v>
      </c>
      <c r="J75" s="16"/>
      <c r="K75" s="106"/>
    </row>
    <row r="76" spans="1:11" s="111" customFormat="1" x14ac:dyDescent="0.35">
      <c r="A76" s="106"/>
      <c r="B76"/>
      <c r="C76" s="85" t="s">
        <v>151</v>
      </c>
      <c r="D76" s="48"/>
      <c r="E76" s="48"/>
      <c r="F76" s="48">
        <f t="shared" si="8"/>
        <v>8360.5300777624725</v>
      </c>
      <c r="G76" s="48"/>
      <c r="H76" s="48"/>
      <c r="I76" s="48">
        <f t="shared" si="9"/>
        <v>8360.5300777624725</v>
      </c>
      <c r="J76" s="16"/>
      <c r="K76" s="106"/>
    </row>
    <row r="77" spans="1:11" s="111" customFormat="1" x14ac:dyDescent="0.35">
      <c r="A77" s="106"/>
      <c r="B77"/>
      <c r="C77" s="85" t="s">
        <v>152</v>
      </c>
      <c r="D77" s="48"/>
      <c r="E77" s="48"/>
      <c r="F77" s="48">
        <f>F$21*F47*F$16*F$17</f>
        <v>315123.906742803</v>
      </c>
      <c r="G77" s="48"/>
      <c r="H77" s="48"/>
      <c r="I77" s="48">
        <f t="shared" si="9"/>
        <v>315123.906742803</v>
      </c>
      <c r="J77" s="16"/>
      <c r="K77" s="106"/>
    </row>
    <row r="78" spans="1:11" x14ac:dyDescent="0.35">
      <c r="A78" s="106"/>
      <c r="B78"/>
      <c r="C78" s="85" t="s">
        <v>153</v>
      </c>
      <c r="D78" s="48"/>
      <c r="E78" s="48"/>
      <c r="F78" s="48">
        <f t="shared" si="8"/>
        <v>310632.39652218012</v>
      </c>
      <c r="G78" s="48"/>
      <c r="H78" s="48"/>
      <c r="I78" s="48">
        <f t="shared" si="9"/>
        <v>310632.39652218012</v>
      </c>
      <c r="J78" s="16"/>
      <c r="K78" s="106"/>
    </row>
    <row r="79" spans="1:11" x14ac:dyDescent="0.35">
      <c r="A79" s="106"/>
      <c r="B79"/>
      <c r="C79" s="85" t="s">
        <v>427</v>
      </c>
      <c r="D79" s="48"/>
      <c r="E79" s="48"/>
      <c r="F79" s="48">
        <f t="shared" si="8"/>
        <v>6724.7923174835405</v>
      </c>
      <c r="G79" s="48"/>
      <c r="H79" s="48"/>
      <c r="I79" s="48">
        <f t="shared" si="9"/>
        <v>6724.7923174835405</v>
      </c>
      <c r="J79" s="16"/>
      <c r="K79" s="106"/>
    </row>
    <row r="80" spans="1:11" x14ac:dyDescent="0.35">
      <c r="A80" s="106"/>
      <c r="B80"/>
      <c r="C80" s="85" t="s">
        <v>428</v>
      </c>
      <c r="D80" s="48"/>
      <c r="E80" s="48"/>
      <c r="F80" s="48">
        <f t="shared" si="8"/>
        <v>8729716.7745379899</v>
      </c>
      <c r="G80" s="48"/>
      <c r="H80" s="48"/>
      <c r="I80" s="48">
        <f t="shared" si="9"/>
        <v>8729716.7745379899</v>
      </c>
      <c r="J80" s="16"/>
      <c r="K80" s="106"/>
    </row>
    <row r="81" spans="1:11" x14ac:dyDescent="0.35">
      <c r="A81" s="106"/>
      <c r="B81"/>
      <c r="C81" s="85" t="s">
        <v>429</v>
      </c>
      <c r="D81" s="48"/>
      <c r="E81" s="48"/>
      <c r="F81" s="48">
        <f t="shared" ref="F81:F87" si="10">F$22*F51*F$16*F$17</f>
        <v>193257958.59084406</v>
      </c>
      <c r="G81" s="48"/>
      <c r="H81" s="48"/>
      <c r="I81" s="48">
        <f t="shared" ref="I81:I87" si="11">I$22*I51*I$16*I$17</f>
        <v>193257958.59084406</v>
      </c>
      <c r="J81" s="16"/>
      <c r="K81" s="106"/>
    </row>
    <row r="82" spans="1:11" x14ac:dyDescent="0.35">
      <c r="A82" s="106"/>
      <c r="B82"/>
      <c r="C82" s="85" t="s">
        <v>430</v>
      </c>
      <c r="D82" s="48"/>
      <c r="E82" s="48"/>
      <c r="F82" s="48">
        <f t="shared" si="10"/>
        <v>503644.36225734605</v>
      </c>
      <c r="G82" s="48"/>
      <c r="H82" s="48"/>
      <c r="I82" s="48">
        <f t="shared" si="11"/>
        <v>503644.36225734605</v>
      </c>
      <c r="J82" s="16"/>
      <c r="K82" s="106"/>
    </row>
    <row r="83" spans="1:11" x14ac:dyDescent="0.35">
      <c r="A83" s="106"/>
      <c r="B83"/>
      <c r="C83" s="85" t="s">
        <v>431</v>
      </c>
      <c r="D83" s="48"/>
      <c r="E83" s="48"/>
      <c r="F83" s="48">
        <f t="shared" si="10"/>
        <v>11336.258536883292</v>
      </c>
      <c r="G83" s="48"/>
      <c r="H83" s="48"/>
      <c r="I83" s="48">
        <f t="shared" si="11"/>
        <v>11336.258536883292</v>
      </c>
      <c r="J83" s="16"/>
      <c r="K83" s="106"/>
    </row>
    <row r="84" spans="1:11" x14ac:dyDescent="0.35">
      <c r="A84" s="106"/>
      <c r="B84"/>
      <c r="C84" s="85" t="s">
        <v>432</v>
      </c>
      <c r="D84" s="48"/>
      <c r="E84" s="48"/>
      <c r="F84" s="48">
        <f t="shared" si="10"/>
        <v>480221.17623400391</v>
      </c>
      <c r="G84" s="48"/>
      <c r="H84" s="48"/>
      <c r="I84" s="48">
        <f t="shared" si="11"/>
        <v>480221.17623400391</v>
      </c>
      <c r="J84" s="16"/>
      <c r="K84" s="106"/>
    </row>
    <row r="85" spans="1:11" x14ac:dyDescent="0.35">
      <c r="A85" s="106"/>
      <c r="B85"/>
      <c r="C85" s="85" t="s">
        <v>433</v>
      </c>
      <c r="D85" s="48"/>
      <c r="E85" s="48"/>
      <c r="F85" s="48">
        <f t="shared" si="10"/>
        <v>24951.044964312528</v>
      </c>
      <c r="G85" s="48"/>
      <c r="H85" s="48"/>
      <c r="I85" s="48">
        <f t="shared" si="11"/>
        <v>24951.044964312528</v>
      </c>
      <c r="J85" s="16"/>
      <c r="K85" s="106"/>
    </row>
    <row r="86" spans="1:11" x14ac:dyDescent="0.35">
      <c r="A86" s="106"/>
      <c r="B86"/>
      <c r="C86" s="85" t="s">
        <v>434</v>
      </c>
      <c r="D86" s="65"/>
      <c r="E86" s="65"/>
      <c r="F86" s="48">
        <f t="shared" si="10"/>
        <v>656.20157509242222</v>
      </c>
      <c r="G86" s="65"/>
      <c r="H86" s="65"/>
      <c r="I86" s="48">
        <f t="shared" si="11"/>
        <v>656.20157509242222</v>
      </c>
      <c r="J86" s="16"/>
      <c r="K86" s="106"/>
    </row>
    <row r="87" spans="1:11" x14ac:dyDescent="0.35">
      <c r="A87" s="106"/>
      <c r="B87"/>
      <c r="C87" s="85" t="s">
        <v>435</v>
      </c>
      <c r="D87" s="65"/>
      <c r="E87" s="65"/>
      <c r="F87" s="48">
        <f t="shared" si="10"/>
        <v>381495.81961193576</v>
      </c>
      <c r="G87" s="65"/>
      <c r="H87" s="65"/>
      <c r="I87" s="48">
        <f t="shared" si="11"/>
        <v>381495.81961193576</v>
      </c>
      <c r="J87" s="16"/>
      <c r="K87" s="106"/>
    </row>
    <row r="88" spans="1:11" x14ac:dyDescent="0.35">
      <c r="A88" s="106"/>
      <c r="B88"/>
      <c r="C88" s="16"/>
      <c r="D88" s="16"/>
      <c r="E88" s="16"/>
      <c r="F88" s="16"/>
      <c r="G88" s="16"/>
      <c r="H88" s="16"/>
      <c r="I88" s="16"/>
      <c r="J88" s="16"/>
      <c r="K88" s="106"/>
    </row>
    <row r="89" spans="1:11" ht="12" customHeight="1" x14ac:dyDescent="0.35">
      <c r="A89" s="106"/>
      <c r="B89"/>
      <c r="C89" s="439" t="s">
        <v>193</v>
      </c>
      <c r="D89" s="439"/>
      <c r="E89" s="439"/>
      <c r="F89" s="439"/>
      <c r="G89" s="439"/>
      <c r="H89" s="439"/>
      <c r="I89" s="439"/>
      <c r="J89" s="16"/>
      <c r="K89" s="106"/>
    </row>
    <row r="90" spans="1:11" ht="15" thickBot="1" x14ac:dyDescent="0.4">
      <c r="A90" s="106"/>
      <c r="B90"/>
      <c r="C90" s="131" t="s">
        <v>194</v>
      </c>
      <c r="D90" s="122"/>
      <c r="E90" s="122"/>
      <c r="F90"/>
      <c r="G90"/>
      <c r="H90"/>
      <c r="I90"/>
      <c r="J90" s="16"/>
      <c r="K90" s="106"/>
    </row>
    <row r="91" spans="1:11" x14ac:dyDescent="0.35">
      <c r="A91" s="106"/>
      <c r="B91" s="84"/>
      <c r="C91" s="443" t="s">
        <v>54</v>
      </c>
      <c r="D91" s="444"/>
      <c r="E91" s="444"/>
      <c r="F91" s="445"/>
      <c r="G91" s="413"/>
      <c r="H91" s="413"/>
      <c r="I91" s="414">
        <f>F25+I25</f>
        <v>16530.61224489794</v>
      </c>
      <c r="J91" s="16"/>
      <c r="K91" s="106"/>
    </row>
    <row r="92" spans="1:11" ht="15" thickBot="1" x14ac:dyDescent="0.4">
      <c r="A92" s="106"/>
      <c r="B92"/>
      <c r="C92" s="462" t="s">
        <v>47</v>
      </c>
      <c r="D92" s="463"/>
      <c r="E92" s="463"/>
      <c r="F92" s="464"/>
      <c r="G92" s="415"/>
      <c r="H92" s="416"/>
      <c r="I92" s="214" t="s">
        <v>109</v>
      </c>
      <c r="J92" s="16"/>
      <c r="K92" s="106"/>
    </row>
    <row r="93" spans="1:11" x14ac:dyDescent="0.35">
      <c r="A93" s="106"/>
      <c r="B93"/>
      <c r="C93" s="417"/>
      <c r="D93" s="418"/>
      <c r="E93" s="418"/>
      <c r="F93" s="124"/>
      <c r="G93"/>
      <c r="H93"/>
      <c r="I93" s="418"/>
      <c r="J93" s="16"/>
      <c r="K93" s="106"/>
    </row>
    <row r="94" spans="1:11" ht="15" thickBot="1" x14ac:dyDescent="0.4">
      <c r="A94" s="106"/>
      <c r="B94"/>
      <c r="C94" s="318" t="s">
        <v>202</v>
      </c>
      <c r="D94" s="419"/>
      <c r="E94" s="419"/>
      <c r="F94"/>
      <c r="G94" s="419"/>
      <c r="H94" s="419"/>
      <c r="I94" s="419"/>
      <c r="J94" s="16"/>
      <c r="K94" s="106"/>
    </row>
    <row r="95" spans="1:11" x14ac:dyDescent="0.35">
      <c r="A95" s="106"/>
      <c r="B95"/>
      <c r="C95" s="459" t="s">
        <v>463</v>
      </c>
      <c r="D95" s="460"/>
      <c r="E95" s="460"/>
      <c r="F95" s="461"/>
      <c r="G95" s="420"/>
      <c r="H95" s="420"/>
      <c r="I95" s="421">
        <f>(F59+F66+I59+I66-(F74+F81+I74+I81))/1000</f>
        <v>73409.670143264768</v>
      </c>
      <c r="J95"/>
      <c r="K95" s="106"/>
    </row>
    <row r="96" spans="1:11" x14ac:dyDescent="0.35">
      <c r="A96" s="106"/>
      <c r="B96" s="42"/>
      <c r="C96" s="456" t="s">
        <v>488</v>
      </c>
      <c r="D96" s="457"/>
      <c r="E96" s="457"/>
      <c r="F96" s="458"/>
      <c r="G96" s="306"/>
      <c r="H96" s="306"/>
      <c r="I96" s="422">
        <f t="shared" ref="I96:I101" si="12">(F60+F67+I60+I67-(F75+F82+I75+I82))/1000</f>
        <v>51.079711284928955</v>
      </c>
      <c r="J96" s="155" t="s">
        <v>511</v>
      </c>
      <c r="K96" s="106"/>
    </row>
    <row r="97" spans="1:17" x14ac:dyDescent="0.35">
      <c r="A97" s="106"/>
      <c r="B97" s="42"/>
      <c r="C97" s="446" t="s">
        <v>489</v>
      </c>
      <c r="D97" s="452"/>
      <c r="E97" s="452"/>
      <c r="F97" s="452"/>
      <c r="G97" s="306"/>
      <c r="H97" s="306"/>
      <c r="I97" s="422">
        <f>(F61+F68+I61+I68-(F76+F83+I76+I83))/1000</f>
        <v>0.91028386137396589</v>
      </c>
      <c r="J97" s="155" t="s">
        <v>511</v>
      </c>
      <c r="K97" s="106"/>
    </row>
    <row r="98" spans="1:17" x14ac:dyDescent="0.35">
      <c r="A98" s="106"/>
      <c r="B98" s="42"/>
      <c r="C98" s="446" t="s">
        <v>464</v>
      </c>
      <c r="D98" s="447"/>
      <c r="E98" s="447"/>
      <c r="F98" s="447"/>
      <c r="G98" s="423"/>
      <c r="H98" s="423"/>
      <c r="I98" s="422">
        <f t="shared" si="12"/>
        <v>50.039606479922774</v>
      </c>
      <c r="J98" s="42"/>
      <c r="K98" s="106"/>
    </row>
    <row r="99" spans="1:17" x14ac:dyDescent="0.35">
      <c r="A99" s="106"/>
      <c r="B99" s="42"/>
      <c r="C99" s="446" t="s">
        <v>465</v>
      </c>
      <c r="D99" s="447"/>
      <c r="E99" s="447"/>
      <c r="F99" s="447"/>
      <c r="G99" s="423"/>
      <c r="H99" s="423"/>
      <c r="I99" s="422">
        <f t="shared" si="12"/>
        <v>30.983534698481204</v>
      </c>
      <c r="J99" s="42"/>
      <c r="K99" s="106"/>
    </row>
    <row r="100" spans="1:17" x14ac:dyDescent="0.35">
      <c r="A100" s="106"/>
      <c r="B100" s="42"/>
      <c r="C100" s="446" t="s">
        <v>466</v>
      </c>
      <c r="D100" s="447"/>
      <c r="E100" s="447"/>
      <c r="F100" s="447"/>
      <c r="G100" s="424"/>
      <c r="H100" s="424"/>
      <c r="I100" s="422">
        <f t="shared" si="12"/>
        <v>0.48779380772316105</v>
      </c>
      <c r="J100" s="42"/>
      <c r="K100" s="106"/>
    </row>
    <row r="101" spans="1:17" ht="15" thickBot="1" x14ac:dyDescent="0.4">
      <c r="A101" s="106"/>
      <c r="B101" s="42"/>
      <c r="C101" s="450" t="s">
        <v>467</v>
      </c>
      <c r="D101" s="451"/>
      <c r="E101" s="451"/>
      <c r="F101" s="451"/>
      <c r="G101" s="425"/>
      <c r="H101" s="425"/>
      <c r="I101" s="426">
        <f t="shared" si="12"/>
        <v>341.50572674138846</v>
      </c>
      <c r="J101" s="42"/>
      <c r="K101" s="106"/>
    </row>
    <row r="102" spans="1:17" x14ac:dyDescent="0.35">
      <c r="A102" s="106"/>
      <c r="B102"/>
      <c r="C102" s="448" t="s">
        <v>474</v>
      </c>
      <c r="D102" s="449"/>
      <c r="E102" s="449"/>
      <c r="F102" s="449"/>
      <c r="G102" s="420"/>
      <c r="H102" s="420"/>
      <c r="I102" s="320">
        <f>SUM(I95/$I$17)</f>
        <v>293.63868057305905</v>
      </c>
      <c r="J102"/>
      <c r="K102" s="106"/>
    </row>
    <row r="103" spans="1:17" x14ac:dyDescent="0.35">
      <c r="A103" s="106"/>
      <c r="B103"/>
      <c r="C103" s="446" t="s">
        <v>475</v>
      </c>
      <c r="D103" s="447"/>
      <c r="E103" s="447"/>
      <c r="F103" s="447"/>
      <c r="G103" s="423"/>
      <c r="H103" s="423"/>
      <c r="I103" s="321">
        <f t="shared" ref="I103:I108" si="13">SUM(I96/$I$17)</f>
        <v>0.20431884513971582</v>
      </c>
      <c r="J103"/>
      <c r="K103" s="106"/>
    </row>
    <row r="104" spans="1:17" x14ac:dyDescent="0.35">
      <c r="A104" s="106"/>
      <c r="B104"/>
      <c r="C104" s="446" t="s">
        <v>476</v>
      </c>
      <c r="D104" s="447"/>
      <c r="E104" s="447"/>
      <c r="F104" s="447"/>
      <c r="G104" s="423"/>
      <c r="H104" s="423"/>
      <c r="I104" s="321">
        <f t="shared" si="13"/>
        <v>3.6411354454958635E-3</v>
      </c>
      <c r="J104"/>
      <c r="K104" s="106"/>
    </row>
    <row r="105" spans="1:17" x14ac:dyDescent="0.35">
      <c r="A105" s="106"/>
      <c r="B105"/>
      <c r="C105" s="446" t="s">
        <v>498</v>
      </c>
      <c r="D105" s="447"/>
      <c r="E105" s="447"/>
      <c r="F105" s="447"/>
      <c r="G105" s="306"/>
      <c r="H105" s="306"/>
      <c r="I105" s="321">
        <f t="shared" si="13"/>
        <v>0.2001584259196911</v>
      </c>
      <c r="J105" s="155" t="s">
        <v>511</v>
      </c>
      <c r="K105" s="106"/>
    </row>
    <row r="106" spans="1:17" x14ac:dyDescent="0.35">
      <c r="A106" s="106"/>
      <c r="B106"/>
      <c r="C106" s="446" t="s">
        <v>499</v>
      </c>
      <c r="D106" s="447"/>
      <c r="E106" s="447"/>
      <c r="F106" s="447"/>
      <c r="G106" s="306"/>
      <c r="H106" s="306"/>
      <c r="I106" s="321">
        <f t="shared" si="13"/>
        <v>0.12393413879392481</v>
      </c>
      <c r="J106" s="155" t="s">
        <v>511</v>
      </c>
      <c r="K106" s="106"/>
    </row>
    <row r="107" spans="1:17" x14ac:dyDescent="0.35">
      <c r="A107" s="106"/>
      <c r="B107"/>
      <c r="C107" s="446" t="s">
        <v>481</v>
      </c>
      <c r="D107" s="447"/>
      <c r="E107" s="447"/>
      <c r="F107" s="447"/>
      <c r="G107" s="424"/>
      <c r="H107" s="424"/>
      <c r="I107" s="321">
        <f t="shared" si="13"/>
        <v>1.9511752308926443E-3</v>
      </c>
      <c r="J107"/>
      <c r="K107" s="106"/>
    </row>
    <row r="108" spans="1:17" ht="15" thickBot="1" x14ac:dyDescent="0.4">
      <c r="A108" s="106"/>
      <c r="B108"/>
      <c r="C108" s="450" t="s">
        <v>500</v>
      </c>
      <c r="D108" s="451"/>
      <c r="E108" s="451"/>
      <c r="F108" s="451"/>
      <c r="G108" s="427"/>
      <c r="H108" s="427"/>
      <c r="I108" s="362">
        <f t="shared" si="13"/>
        <v>1.3660229069655538</v>
      </c>
      <c r="J108" s="155" t="s">
        <v>511</v>
      </c>
      <c r="K108" s="106"/>
    </row>
    <row r="109" spans="1:17" ht="15" thickBot="1" x14ac:dyDescent="0.4">
      <c r="A109" s="106"/>
      <c r="B109"/>
      <c r="C109" s="16"/>
      <c r="D109" s="137"/>
      <c r="E109" s="108"/>
      <c r="F109" s="137"/>
      <c r="G109" s="108"/>
      <c r="H109" s="108"/>
      <c r="I109" s="428"/>
      <c r="J109" s="16"/>
      <c r="K109" s="106"/>
      <c r="N109" s="109"/>
      <c r="O109" s="109"/>
      <c r="P109" s="109"/>
      <c r="Q109" s="109"/>
    </row>
    <row r="110" spans="1:17" x14ac:dyDescent="0.35">
      <c r="A110" s="106"/>
      <c r="B110"/>
      <c r="C110" s="448" t="s">
        <v>472</v>
      </c>
      <c r="D110" s="449"/>
      <c r="E110" s="449"/>
      <c r="F110" s="449"/>
      <c r="G110" s="420"/>
      <c r="H110" s="420"/>
      <c r="I110" s="429">
        <v>5479200</v>
      </c>
      <c r="J110"/>
      <c r="K110" s="106"/>
    </row>
    <row r="111" spans="1:17" x14ac:dyDescent="0.35">
      <c r="A111" s="106"/>
      <c r="B111"/>
      <c r="C111" s="446" t="s">
        <v>473</v>
      </c>
      <c r="D111" s="447"/>
      <c r="E111" s="447"/>
      <c r="F111" s="447"/>
      <c r="G111" s="423"/>
      <c r="H111" s="423"/>
      <c r="I111" s="430">
        <v>20</v>
      </c>
      <c r="J111"/>
      <c r="K111" s="106"/>
    </row>
    <row r="112" spans="1:17" x14ac:dyDescent="0.35">
      <c r="A112" s="106"/>
      <c r="B112"/>
      <c r="C112" s="456" t="s">
        <v>493</v>
      </c>
      <c r="D112" s="457"/>
      <c r="E112" s="457"/>
      <c r="F112" s="458"/>
      <c r="G112" s="306"/>
      <c r="H112" s="306"/>
      <c r="I112" s="431">
        <f>SUM($I$110/$I$111)/I96</f>
        <v>5363.3819203052499</v>
      </c>
      <c r="J112" s="155" t="s">
        <v>511</v>
      </c>
      <c r="K112" s="106"/>
    </row>
    <row r="113" spans="1:11" x14ac:dyDescent="0.35">
      <c r="A113" s="106"/>
      <c r="B113"/>
      <c r="C113" s="456" t="s">
        <v>494</v>
      </c>
      <c r="D113" s="457"/>
      <c r="E113" s="457"/>
      <c r="F113" s="458"/>
      <c r="G113" s="306"/>
      <c r="H113" s="306"/>
      <c r="I113" s="431">
        <f>SUM($I$110/$I$111)/I97</f>
        <v>300961.06459197216</v>
      </c>
      <c r="J113" s="155" t="s">
        <v>511</v>
      </c>
      <c r="K113" s="106"/>
    </row>
    <row r="114" spans="1:11" x14ac:dyDescent="0.35">
      <c r="A114" s="106"/>
      <c r="B114"/>
      <c r="C114" s="456" t="s">
        <v>495</v>
      </c>
      <c r="D114" s="457"/>
      <c r="E114" s="457"/>
      <c r="F114" s="458"/>
      <c r="G114" s="306"/>
      <c r="H114" s="306"/>
      <c r="I114" s="431">
        <f>($I$110/($I$111*$I$17))/I105</f>
        <v>5474.8631988127254</v>
      </c>
      <c r="J114" s="155" t="s">
        <v>511</v>
      </c>
      <c r="K114" s="106"/>
    </row>
    <row r="115" spans="1:11" x14ac:dyDescent="0.35">
      <c r="A115" s="106"/>
      <c r="B115"/>
      <c r="C115" s="456" t="s">
        <v>496</v>
      </c>
      <c r="D115" s="457"/>
      <c r="E115" s="457"/>
      <c r="F115" s="458"/>
      <c r="G115" s="432"/>
      <c r="H115" s="432"/>
      <c r="I115" s="431">
        <f>($I$110/($I$111*$I$17))/I106</f>
        <v>8842.1157452196494</v>
      </c>
      <c r="J115" s="155" t="s">
        <v>511</v>
      </c>
      <c r="K115" s="106"/>
    </row>
    <row r="116" spans="1:11" ht="15" thickBot="1" x14ac:dyDescent="0.4">
      <c r="A116" s="106"/>
      <c r="B116"/>
      <c r="C116" s="453" t="s">
        <v>497</v>
      </c>
      <c r="D116" s="454"/>
      <c r="E116" s="454"/>
      <c r="F116" s="455"/>
      <c r="G116" s="427"/>
      <c r="H116" s="427"/>
      <c r="I116" s="433">
        <f>($I$110/($I$111*$I$17))/I108</f>
        <v>802.21202324803551</v>
      </c>
      <c r="J116" s="155" t="s">
        <v>511</v>
      </c>
      <c r="K116" s="106"/>
    </row>
    <row r="117" spans="1:11" x14ac:dyDescent="0.35">
      <c r="A117" s="106"/>
      <c r="B117"/>
      <c r="C117"/>
      <c r="D117"/>
      <c r="E117"/>
      <c r="F117"/>
      <c r="G117"/>
      <c r="H117"/>
      <c r="I117"/>
      <c r="J117"/>
      <c r="K117" s="106"/>
    </row>
    <row r="118" spans="1:11" x14ac:dyDescent="0.35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</row>
  </sheetData>
  <mergeCells count="25">
    <mergeCell ref="C116:F116"/>
    <mergeCell ref="C96:F96"/>
    <mergeCell ref="C95:F95"/>
    <mergeCell ref="C92:F92"/>
    <mergeCell ref="C115:F115"/>
    <mergeCell ref="C114:F114"/>
    <mergeCell ref="C113:F113"/>
    <mergeCell ref="C112:F112"/>
    <mergeCell ref="C107:F107"/>
    <mergeCell ref="C91:F91"/>
    <mergeCell ref="C89:I89"/>
    <mergeCell ref="C3:I3"/>
    <mergeCell ref="C111:F111"/>
    <mergeCell ref="C110:F110"/>
    <mergeCell ref="C108:F108"/>
    <mergeCell ref="C103:F103"/>
    <mergeCell ref="C102:F102"/>
    <mergeCell ref="C105:F105"/>
    <mergeCell ref="C104:F104"/>
    <mergeCell ref="C101:F101"/>
    <mergeCell ref="C106:F106"/>
    <mergeCell ref="C100:F100"/>
    <mergeCell ref="C99:F99"/>
    <mergeCell ref="C98:F98"/>
    <mergeCell ref="C97:F97"/>
  </mergeCells>
  <printOptions headings="1" gridLines="1"/>
  <pageMargins left="0.7" right="0.7" top="0.75" bottom="0.75" header="0.3" footer="0.3"/>
  <pageSetup paperSize="17" scale="6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OtherVariables!$P$24:$P$39</xm:f>
          </x14:formula1>
          <xm:sqref>F7 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E80"/>
  <sheetViews>
    <sheetView showGridLines="0" tabSelected="1" zoomScale="85" zoomScaleNormal="85" workbookViewId="0">
      <selection activeCell="C10" sqref="C10"/>
    </sheetView>
  </sheetViews>
  <sheetFormatPr defaultColWidth="9.08984375" defaultRowHeight="14.5" x14ac:dyDescent="0.35"/>
  <cols>
    <col min="1" max="1" width="2.453125" style="78" customWidth="1"/>
    <col min="2" max="2" width="1.90625" style="78" customWidth="1"/>
    <col min="3" max="3" width="80.453125" style="78" customWidth="1"/>
    <col min="4" max="4" width="18.453125" style="78" hidden="1" customWidth="1"/>
    <col min="5" max="5" width="19.453125" style="112" hidden="1" customWidth="1"/>
    <col min="6" max="6" width="25.54296875" style="112" customWidth="1"/>
    <col min="7" max="7" width="6" style="78" customWidth="1"/>
    <col min="8" max="8" width="2.453125" style="78" customWidth="1"/>
    <col min="9" max="9" width="21.54296875" style="78" customWidth="1"/>
    <col min="10" max="11" width="9.08984375" style="78"/>
    <col min="12" max="12" width="9.08984375" style="78" customWidth="1"/>
    <col min="13" max="13" width="42.453125" style="78" bestFit="1" customWidth="1"/>
    <col min="14" max="16384" width="9.08984375" style="78"/>
  </cols>
  <sheetData>
    <row r="1" spans="1:24" x14ac:dyDescent="0.35">
      <c r="A1" s="106"/>
      <c r="B1" s="106"/>
      <c r="C1" s="106"/>
      <c r="D1" s="106"/>
      <c r="E1" s="106"/>
      <c r="F1" s="106"/>
      <c r="G1" s="106"/>
      <c r="H1" s="106"/>
    </row>
    <row r="2" spans="1:24" x14ac:dyDescent="0.35">
      <c r="A2" s="106"/>
      <c r="B2" s="118"/>
      <c r="C2" s="118"/>
      <c r="D2" s="118"/>
      <c r="E2" s="118"/>
      <c r="F2" s="118"/>
      <c r="G2" s="118"/>
      <c r="H2" s="106"/>
    </row>
    <row r="3" spans="1:24" ht="26" x14ac:dyDescent="0.35">
      <c r="A3" s="106"/>
      <c r="B3"/>
      <c r="C3" s="441" t="s">
        <v>482</v>
      </c>
      <c r="D3" s="441"/>
      <c r="E3" s="441"/>
      <c r="F3" s="441"/>
      <c r="G3" s="91"/>
      <c r="H3" s="106"/>
      <c r="J3" s="110"/>
      <c r="X3" s="94">
        <v>2011</v>
      </c>
    </row>
    <row r="4" spans="1:24" ht="14.25" customHeight="1" x14ac:dyDescent="0.35">
      <c r="A4" s="106"/>
      <c r="B4"/>
      <c r="C4"/>
      <c r="D4"/>
      <c r="E4" s="26"/>
      <c r="F4" s="26"/>
      <c r="G4" s="91"/>
      <c r="H4" s="106"/>
      <c r="X4" s="94">
        <v>2012</v>
      </c>
    </row>
    <row r="5" spans="1:24" ht="15" customHeight="1" x14ac:dyDescent="0.35">
      <c r="A5" s="106"/>
      <c r="B5"/>
      <c r="C5" s="465" t="s">
        <v>196</v>
      </c>
      <c r="D5" s="465"/>
      <c r="E5" s="465"/>
      <c r="F5" s="465"/>
      <c r="G5" s="91"/>
      <c r="H5" s="106"/>
      <c r="X5" s="94">
        <v>2013</v>
      </c>
    </row>
    <row r="6" spans="1:24" ht="15.5" x14ac:dyDescent="0.35">
      <c r="A6" s="106"/>
      <c r="B6"/>
      <c r="C6" s="128" t="s">
        <v>199</v>
      </c>
      <c r="D6" s="119"/>
      <c r="E6" s="118"/>
      <c r="F6" s="128" t="s">
        <v>200</v>
      </c>
      <c r="G6"/>
      <c r="H6" s="106"/>
      <c r="L6" s="109"/>
      <c r="M6" s="109"/>
      <c r="X6" s="94">
        <v>2014</v>
      </c>
    </row>
    <row r="7" spans="1:24" x14ac:dyDescent="0.35">
      <c r="A7" s="106"/>
      <c r="B7"/>
      <c r="C7" s="95" t="s">
        <v>55</v>
      </c>
      <c r="D7" s="38">
        <v>2025</v>
      </c>
      <c r="E7" s="38">
        <v>2035</v>
      </c>
      <c r="F7" s="38">
        <v>2030</v>
      </c>
      <c r="G7"/>
      <c r="H7" s="106"/>
      <c r="L7" s="109"/>
      <c r="M7" s="109"/>
      <c r="X7" s="94">
        <v>2015</v>
      </c>
    </row>
    <row r="8" spans="1:24" x14ac:dyDescent="0.35">
      <c r="A8" s="106"/>
      <c r="B8"/>
      <c r="C8" s="85" t="s">
        <v>512</v>
      </c>
      <c r="D8" s="21"/>
      <c r="E8" s="21"/>
      <c r="F8" s="21">
        <v>0.05</v>
      </c>
      <c r="G8" s="37"/>
      <c r="H8" s="106"/>
      <c r="K8" s="109"/>
      <c r="L8" s="109"/>
      <c r="M8" s="109"/>
      <c r="X8" s="94">
        <v>2019</v>
      </c>
    </row>
    <row r="9" spans="1:24" x14ac:dyDescent="0.35">
      <c r="A9" s="106"/>
      <c r="B9"/>
      <c r="C9" s="85" t="s">
        <v>513</v>
      </c>
      <c r="D9" s="358"/>
      <c r="E9" s="358"/>
      <c r="F9" s="438">
        <v>32000</v>
      </c>
      <c r="G9" s="41"/>
      <c r="H9" s="106"/>
      <c r="K9" s="109"/>
      <c r="L9" s="109"/>
      <c r="M9" s="109"/>
      <c r="X9" s="94"/>
    </row>
    <row r="10" spans="1:24" x14ac:dyDescent="0.35">
      <c r="A10" s="106"/>
      <c r="B10"/>
      <c r="C10" s="85" t="s">
        <v>514</v>
      </c>
      <c r="D10" s="358"/>
      <c r="E10" s="358"/>
      <c r="F10" s="438">
        <v>13965.781789977947</v>
      </c>
      <c r="G10" s="41"/>
      <c r="H10" s="106"/>
      <c r="K10" s="109"/>
      <c r="L10" s="109"/>
      <c r="M10" s="109"/>
      <c r="X10" s="94"/>
    </row>
    <row r="11" spans="1:24" x14ac:dyDescent="0.35">
      <c r="A11" s="106"/>
      <c r="B11"/>
      <c r="C11" s="16"/>
      <c r="D11" s="126"/>
      <c r="E11" s="126"/>
      <c r="F11" s="126"/>
      <c r="G11" s="41"/>
      <c r="H11" s="106"/>
      <c r="K11" s="109"/>
      <c r="L11" s="109"/>
      <c r="M11" s="109"/>
    </row>
    <row r="12" spans="1:24" ht="15.5" x14ac:dyDescent="0.35">
      <c r="A12" s="106"/>
      <c r="B12"/>
      <c r="C12" s="442" t="s">
        <v>195</v>
      </c>
      <c r="D12" s="442"/>
      <c r="E12" s="442"/>
      <c r="F12" s="442"/>
      <c r="G12" s="41"/>
      <c r="H12" s="106"/>
      <c r="K12" s="109"/>
      <c r="L12" s="109"/>
      <c r="M12" s="109"/>
    </row>
    <row r="13" spans="1:24" x14ac:dyDescent="0.35">
      <c r="A13" s="106"/>
      <c r="B13"/>
      <c r="C13" s="120" t="s">
        <v>1</v>
      </c>
      <c r="D13" s="130">
        <f>D7</f>
        <v>2025</v>
      </c>
      <c r="E13" s="130">
        <f>E7</f>
        <v>2035</v>
      </c>
      <c r="F13" s="133"/>
      <c r="G13" s="41"/>
      <c r="H13" s="106"/>
      <c r="I13" s="114"/>
      <c r="K13" s="109"/>
      <c r="L13" s="109"/>
      <c r="M13" s="109"/>
    </row>
    <row r="14" spans="1:24" x14ac:dyDescent="0.35">
      <c r="A14" s="106"/>
      <c r="B14"/>
      <c r="C14" s="89" t="s">
        <v>48</v>
      </c>
      <c r="D14" s="10"/>
      <c r="E14" s="10"/>
      <c r="F14" s="181">
        <v>10</v>
      </c>
      <c r="G14" s="26"/>
      <c r="H14" s="106"/>
      <c r="I14" s="100"/>
      <c r="K14" s="109"/>
      <c r="L14" s="109"/>
      <c r="M14" s="109"/>
    </row>
    <row r="15" spans="1:24" x14ac:dyDescent="0.35">
      <c r="A15" s="106"/>
      <c r="B15"/>
      <c r="C15" s="89" t="s">
        <v>49</v>
      </c>
      <c r="D15" s="10"/>
      <c r="E15" s="10"/>
      <c r="F15" s="181">
        <v>250</v>
      </c>
      <c r="G15" s="26"/>
      <c r="H15" s="106"/>
      <c r="I15" s="98"/>
      <c r="K15" s="109"/>
      <c r="L15" s="109"/>
      <c r="M15" s="109"/>
    </row>
    <row r="16" spans="1:24" x14ac:dyDescent="0.35">
      <c r="A16" s="106"/>
      <c r="B16"/>
      <c r="C16" s="120" t="s">
        <v>205</v>
      </c>
      <c r="D16" s="105"/>
      <c r="E16" s="105"/>
      <c r="F16" s="133">
        <f>F7</f>
        <v>2030</v>
      </c>
      <c r="G16" s="26"/>
      <c r="H16" s="106"/>
      <c r="I16" s="88"/>
      <c r="K16" s="109"/>
    </row>
    <row r="17" spans="1:12" x14ac:dyDescent="0.35">
      <c r="A17" s="106"/>
      <c r="B17"/>
      <c r="C17" s="87" t="s">
        <v>417</v>
      </c>
      <c r="D17" s="6">
        <f>'2025ER'!AG4</f>
        <v>2869.5415786322055</v>
      </c>
      <c r="E17" s="61">
        <f>'2035ER'!AG4</f>
        <v>1584.4391318733667</v>
      </c>
      <c r="F17" s="357">
        <f>IF(F$7&gt;2035,E17,TREND(D17:E17,$D$7:$E$7,$F$7))</f>
        <v>2226.990355252783</v>
      </c>
      <c r="G17" s="39"/>
      <c r="H17" s="106"/>
      <c r="I17" s="88"/>
    </row>
    <row r="18" spans="1:12" x14ac:dyDescent="0.35">
      <c r="A18" s="106"/>
      <c r="B18"/>
      <c r="C18" s="87" t="s">
        <v>143</v>
      </c>
      <c r="D18" s="6">
        <f>'2025ER'!AG5</f>
        <v>0.35399294880543802</v>
      </c>
      <c r="E18" s="61">
        <f>'2035ER'!AG5</f>
        <v>5.6449742193203645E-2</v>
      </c>
      <c r="F18" s="357">
        <f t="shared" ref="F18:F30" si="0">IF(F$7&gt;2035,E18,TREND(D18:E18,$D$7:$E$7,$F$7))</f>
        <v>0.20522134549931792</v>
      </c>
      <c r="G18" s="39"/>
      <c r="H18" s="106"/>
    </row>
    <row r="19" spans="1:12" x14ac:dyDescent="0.35">
      <c r="A19" s="106"/>
      <c r="B19"/>
      <c r="C19" s="87" t="s">
        <v>142</v>
      </c>
      <c r="D19" s="6">
        <f>'2025ER'!AG6</f>
        <v>3.1340207572494741E-2</v>
      </c>
      <c r="E19" s="61">
        <f>'2035ER'!AG6</f>
        <v>1.158981896190199E-2</v>
      </c>
      <c r="F19" s="357">
        <f t="shared" si="0"/>
        <v>2.1465013267198074E-2</v>
      </c>
      <c r="G19" s="23"/>
      <c r="H19" s="106"/>
    </row>
    <row r="20" spans="1:12" s="107" customFormat="1" x14ac:dyDescent="0.35">
      <c r="A20" s="106"/>
      <c r="B20"/>
      <c r="C20" s="87" t="s">
        <v>141</v>
      </c>
      <c r="D20" s="6">
        <f>'2025ER'!AG7</f>
        <v>0.58875959789844012</v>
      </c>
      <c r="E20" s="61">
        <f>'2035ER'!AG7</f>
        <v>9.5266050044316083E-2</v>
      </c>
      <c r="F20" s="357">
        <f t="shared" si="0"/>
        <v>0.34201282397137334</v>
      </c>
      <c r="G20" s="26"/>
      <c r="H20" s="106"/>
      <c r="I20" s="78"/>
      <c r="L20" s="113"/>
    </row>
    <row r="21" spans="1:12" x14ac:dyDescent="0.35">
      <c r="A21" s="106"/>
      <c r="B21"/>
      <c r="C21" s="87" t="s">
        <v>140</v>
      </c>
      <c r="D21" s="6">
        <f>'2025ER'!AG8</f>
        <v>0.29254066546595658</v>
      </c>
      <c r="E21" s="61">
        <f>'2035ER'!AG8</f>
        <v>5.3133856357303659E-2</v>
      </c>
      <c r="F21" s="357">
        <f t="shared" si="0"/>
        <v>0.17283726091162777</v>
      </c>
      <c r="G21" s="26"/>
      <c r="H21" s="106"/>
      <c r="L21" s="113"/>
    </row>
    <row r="22" spans="1:12" x14ac:dyDescent="0.35">
      <c r="A22" s="106"/>
      <c r="B22"/>
      <c r="C22" s="85" t="s">
        <v>389</v>
      </c>
      <c r="D22" s="6">
        <f>'2025ER'!AG9</f>
        <v>1.9476558553341038E-2</v>
      </c>
      <c r="E22" s="61">
        <f>'2035ER'!AG9</f>
        <v>1.07724752710409E-2</v>
      </c>
      <c r="F22" s="357">
        <f t="shared" si="0"/>
        <v>1.5124516912190966E-2</v>
      </c>
      <c r="G22" s="26"/>
      <c r="H22" s="106"/>
    </row>
    <row r="23" spans="1:12" x14ac:dyDescent="0.35">
      <c r="A23" s="106"/>
      <c r="B23"/>
      <c r="C23" s="85" t="s">
        <v>390</v>
      </c>
      <c r="D23" s="6">
        <f>'2025ER'!AG10</f>
        <v>3.1032946998388797</v>
      </c>
      <c r="E23" s="61">
        <f>'2035ER'!AG10</f>
        <v>0.93254622442210999</v>
      </c>
      <c r="F23" s="357">
        <f t="shared" si="0"/>
        <v>2.0179204621305189</v>
      </c>
      <c r="G23" s="26"/>
      <c r="H23" s="106"/>
    </row>
    <row r="24" spans="1:12" x14ac:dyDescent="0.35">
      <c r="A24" s="106"/>
      <c r="B24"/>
      <c r="C24" s="87" t="s">
        <v>422</v>
      </c>
      <c r="D24" s="63">
        <f>'2025ER'!AV4</f>
        <v>7014.5688774709897</v>
      </c>
      <c r="E24" s="63">
        <f>'2035ER'!AV4</f>
        <v>5692.2295063884858</v>
      </c>
      <c r="F24" s="357">
        <f t="shared" si="0"/>
        <v>6353.3991919297259</v>
      </c>
      <c r="G24" s="26"/>
      <c r="H24" s="106"/>
    </row>
    <row r="25" spans="1:12" x14ac:dyDescent="0.35">
      <c r="A25" s="106"/>
      <c r="B25" s="40"/>
      <c r="C25" s="87" t="s">
        <v>418</v>
      </c>
      <c r="D25" s="63">
        <f>'2025ER'!AV5</f>
        <v>35.049744880486408</v>
      </c>
      <c r="E25" s="63">
        <f>'2035ER'!AV5</f>
        <v>20.643076991488432</v>
      </c>
      <c r="F25" s="357">
        <f t="shared" si="0"/>
        <v>27.846410935987478</v>
      </c>
      <c r="G25" s="26"/>
      <c r="H25" s="106"/>
      <c r="I25" s="107"/>
    </row>
    <row r="26" spans="1:12" x14ac:dyDescent="0.35">
      <c r="A26" s="106"/>
      <c r="B26"/>
      <c r="C26" s="87" t="s">
        <v>419</v>
      </c>
      <c r="D26" s="63">
        <f>'2025ER'!AV6</f>
        <v>0.608692340690275</v>
      </c>
      <c r="E26" s="63">
        <f>'2035ER'!AV6</f>
        <v>9.853276765690025E-2</v>
      </c>
      <c r="F26" s="357">
        <f t="shared" si="0"/>
        <v>0.35361255417359416</v>
      </c>
      <c r="G26" s="26"/>
      <c r="H26" s="106"/>
      <c r="I26" s="107"/>
    </row>
    <row r="27" spans="1:12" s="111" customFormat="1" x14ac:dyDescent="0.35">
      <c r="A27" s="106"/>
      <c r="B27"/>
      <c r="C27" s="87" t="s">
        <v>420</v>
      </c>
      <c r="D27" s="63">
        <f>'2025ER'!AV7</f>
        <v>33.582826576286529</v>
      </c>
      <c r="E27" s="63">
        <f>'2035ER'!AV7</f>
        <v>19.129552945360732</v>
      </c>
      <c r="F27" s="357">
        <f t="shared" si="0"/>
        <v>26.356189760823781</v>
      </c>
      <c r="G27" s="26"/>
      <c r="H27" s="106"/>
      <c r="I27" s="107"/>
    </row>
    <row r="28" spans="1:12" s="111" customFormat="1" x14ac:dyDescent="0.35">
      <c r="A28" s="106"/>
      <c r="B28"/>
      <c r="C28" s="87" t="s">
        <v>421</v>
      </c>
      <c r="D28" s="63">
        <f>'2025ER'!AV8</f>
        <v>2.2148975300066596</v>
      </c>
      <c r="E28" s="63">
        <f>'2035ER'!AV8</f>
        <v>0.76280947269706467</v>
      </c>
      <c r="F28" s="357">
        <f t="shared" si="0"/>
        <v>1.4888535013518549</v>
      </c>
      <c r="G28" s="26"/>
      <c r="H28" s="106"/>
      <c r="I28" s="107"/>
    </row>
    <row r="29" spans="1:12" s="111" customFormat="1" x14ac:dyDescent="0.35">
      <c r="A29" s="106"/>
      <c r="B29"/>
      <c r="C29" s="87" t="s">
        <v>392</v>
      </c>
      <c r="D29" s="63">
        <f>'2025ER'!AV9</f>
        <v>2.6609900745527076E-2</v>
      </c>
      <c r="E29" s="63">
        <f>'2035ER'!AV9</f>
        <v>2.1510954325207381E-2</v>
      </c>
      <c r="F29" s="357">
        <f t="shared" si="0"/>
        <v>2.4060427535367301E-2</v>
      </c>
      <c r="G29" s="26"/>
      <c r="H29" s="106"/>
      <c r="I29" s="107"/>
    </row>
    <row r="30" spans="1:12" x14ac:dyDescent="0.35">
      <c r="A30" s="106"/>
      <c r="B30"/>
      <c r="C30" s="87" t="s">
        <v>391</v>
      </c>
      <c r="D30" s="63">
        <f>'2025ER'!AV10</f>
        <v>17.765913054860473</v>
      </c>
      <c r="E30" s="63">
        <f>'2035ER'!AV10</f>
        <v>13.197087503922003</v>
      </c>
      <c r="F30" s="357">
        <f t="shared" si="0"/>
        <v>15.481500279391184</v>
      </c>
      <c r="G30" s="26"/>
      <c r="H30" s="106"/>
      <c r="I30" s="107"/>
      <c r="K30" s="111"/>
    </row>
    <row r="31" spans="1:12" s="111" customFormat="1" x14ac:dyDescent="0.35">
      <c r="A31" s="106"/>
      <c r="B31"/>
      <c r="C31" s="92"/>
      <c r="D31" s="14"/>
      <c r="E31" s="14"/>
      <c r="F31" s="14"/>
      <c r="G31" s="26"/>
      <c r="H31" s="106"/>
      <c r="I31" s="78"/>
    </row>
    <row r="32" spans="1:12" ht="15.5" x14ac:dyDescent="0.35">
      <c r="A32" s="106"/>
      <c r="B32"/>
      <c r="C32" s="442" t="s">
        <v>192</v>
      </c>
      <c r="D32" s="442"/>
      <c r="E32" s="442"/>
      <c r="F32" s="442"/>
      <c r="G32" s="26"/>
      <c r="H32" s="106"/>
      <c r="I32" s="111"/>
    </row>
    <row r="33" spans="1:9" ht="15.5" x14ac:dyDescent="0.35">
      <c r="A33" s="106"/>
      <c r="B33"/>
      <c r="C33" s="120" t="s">
        <v>199</v>
      </c>
      <c r="D33" s="119"/>
      <c r="E33" s="118"/>
      <c r="F33" s="120" t="s">
        <v>198</v>
      </c>
      <c r="G33" s="26"/>
      <c r="H33" s="106"/>
      <c r="I33" s="111"/>
    </row>
    <row r="34" spans="1:9" x14ac:dyDescent="0.35">
      <c r="A34" s="106"/>
      <c r="B34" s="42"/>
      <c r="C34" s="85" t="s">
        <v>126</v>
      </c>
      <c r="D34" s="15"/>
      <c r="E34" s="15"/>
      <c r="F34" s="182">
        <f t="shared" ref="F34:F40" si="1">F$14*((F$9*(1-F$8)*F17)+(F$9*F$8*F24))/3600</f>
        <v>216294.2930743671</v>
      </c>
      <c r="G34" s="42"/>
      <c r="H34" s="106"/>
    </row>
    <row r="35" spans="1:9" x14ac:dyDescent="0.35">
      <c r="A35" s="106"/>
      <c r="B35"/>
      <c r="C35" s="85" t="s">
        <v>182</v>
      </c>
      <c r="D35" s="15"/>
      <c r="E35" s="15"/>
      <c r="F35" s="182">
        <f t="shared" si="1"/>
        <v>141.09162889099784</v>
      </c>
      <c r="G35"/>
      <c r="H35" s="106"/>
    </row>
    <row r="36" spans="1:9" x14ac:dyDescent="0.35">
      <c r="A36" s="106"/>
      <c r="B36"/>
      <c r="C36" s="85" t="s">
        <v>128</v>
      </c>
      <c r="D36" s="15"/>
      <c r="E36" s="15"/>
      <c r="F36" s="182">
        <f t="shared" si="1"/>
        <v>3.3842124722238118</v>
      </c>
      <c r="G36"/>
      <c r="H36" s="106"/>
    </row>
    <row r="37" spans="1:9" x14ac:dyDescent="0.35">
      <c r="A37" s="106"/>
      <c r="B37"/>
      <c r="C37" s="85" t="s">
        <v>183</v>
      </c>
      <c r="D37" s="15"/>
      <c r="E37" s="15"/>
      <c r="F37" s="182">
        <f t="shared" si="1"/>
        <v>146.01970407235501</v>
      </c>
      <c r="G37"/>
      <c r="H37" s="106"/>
    </row>
    <row r="38" spans="1:9" x14ac:dyDescent="0.35">
      <c r="A38" s="106"/>
      <c r="B38"/>
      <c r="C38" s="85" t="s">
        <v>127</v>
      </c>
      <c r="D38" s="15"/>
      <c r="E38" s="15"/>
      <c r="F38" s="182">
        <f t="shared" si="1"/>
        <v>21.212273149656813</v>
      </c>
      <c r="G38"/>
      <c r="H38" s="106"/>
    </row>
    <row r="39" spans="1:9" x14ac:dyDescent="0.35">
      <c r="A39" s="106"/>
      <c r="B39"/>
      <c r="C39" s="85" t="s">
        <v>393</v>
      </c>
      <c r="D39" s="15"/>
      <c r="E39" s="15"/>
      <c r="F39" s="182">
        <f t="shared" si="1"/>
        <v>1.3841166616310918</v>
      </c>
      <c r="G39"/>
      <c r="H39" s="106"/>
    </row>
    <row r="40" spans="1:9" x14ac:dyDescent="0.35">
      <c r="A40" s="106"/>
      <c r="B40"/>
      <c r="C40" s="85" t="s">
        <v>394</v>
      </c>
      <c r="D40" s="15"/>
      <c r="E40" s="15"/>
      <c r="F40" s="182">
        <f t="shared" si="1"/>
        <v>239.20884026609355</v>
      </c>
      <c r="G40"/>
      <c r="H40" s="106"/>
    </row>
    <row r="41" spans="1:9" x14ac:dyDescent="0.35">
      <c r="A41" s="106"/>
      <c r="B41"/>
      <c r="C41" s="85" t="s">
        <v>129</v>
      </c>
      <c r="D41" s="15"/>
      <c r="E41" s="15"/>
      <c r="F41" s="182">
        <f>F$14*((F$10*(1-F$8)*F17)+(F$10*F$8*F24))/3600</f>
        <v>94397.465609192179</v>
      </c>
      <c r="G41"/>
      <c r="H41" s="106"/>
    </row>
    <row r="42" spans="1:9" x14ac:dyDescent="0.35">
      <c r="A42" s="106"/>
      <c r="B42"/>
      <c r="C42" s="85" t="s">
        <v>184</v>
      </c>
      <c r="D42" s="15"/>
      <c r="E42" s="15"/>
      <c r="F42" s="182">
        <f>F$14*((F$10*(1-F$8)*F18)+(F$10*F$8*F25))/3600</f>
        <v>61.576715671382011</v>
      </c>
      <c r="G42"/>
      <c r="H42" s="106"/>
    </row>
    <row r="43" spans="1:9" x14ac:dyDescent="0.35">
      <c r="A43" s="106"/>
      <c r="B43"/>
      <c r="C43" s="85" t="s">
        <v>131</v>
      </c>
      <c r="D43" s="15"/>
      <c r="E43" s="15"/>
      <c r="F43" s="182">
        <f t="shared" ref="F43:F47" si="2">F$14*((F$10*(1-F$8)*F19)+(F$10*F$8*F26))/3600</f>
        <v>1.4769741536874863</v>
      </c>
      <c r="G43"/>
      <c r="H43" s="106"/>
    </row>
    <row r="44" spans="1:9" x14ac:dyDescent="0.35">
      <c r="A44" s="106"/>
      <c r="B44"/>
      <c r="C44" s="85" t="s">
        <v>185</v>
      </c>
      <c r="D44" s="15"/>
      <c r="E44" s="15"/>
      <c r="F44" s="182">
        <f t="shared" si="2"/>
        <v>63.727478878489507</v>
      </c>
      <c r="G44"/>
      <c r="H44" s="106"/>
    </row>
    <row r="45" spans="1:9" x14ac:dyDescent="0.35">
      <c r="A45" s="106"/>
      <c r="B45"/>
      <c r="C45" s="85" t="s">
        <v>130</v>
      </c>
      <c r="D45" s="15"/>
      <c r="E45" s="15"/>
      <c r="F45" s="182">
        <f t="shared" si="2"/>
        <v>9.2576868149223515</v>
      </c>
      <c r="G45"/>
      <c r="H45" s="106"/>
    </row>
    <row r="46" spans="1:9" x14ac:dyDescent="0.35">
      <c r="A46" s="106"/>
      <c r="B46"/>
      <c r="C46" s="89" t="s">
        <v>395</v>
      </c>
      <c r="D46" s="15"/>
      <c r="E46" s="15"/>
      <c r="F46" s="182">
        <f t="shared" si="2"/>
        <v>0.60407097713164293</v>
      </c>
      <c r="G46"/>
      <c r="H46" s="106"/>
    </row>
    <row r="47" spans="1:9" x14ac:dyDescent="0.35">
      <c r="A47" s="106"/>
      <c r="B47"/>
      <c r="C47" s="89" t="s">
        <v>396</v>
      </c>
      <c r="D47" s="15"/>
      <c r="E47" s="15"/>
      <c r="F47" s="182">
        <f t="shared" si="2"/>
        <v>104.39807704343599</v>
      </c>
      <c r="G47"/>
      <c r="H47" s="106"/>
    </row>
    <row r="48" spans="1:9" x14ac:dyDescent="0.35">
      <c r="A48" s="106"/>
      <c r="B48"/>
      <c r="C48" s="16"/>
      <c r="D48" s="33"/>
      <c r="E48" s="33"/>
      <c r="F48" s="33"/>
      <c r="G48"/>
      <c r="H48" s="106"/>
      <c r="I48" s="88"/>
    </row>
    <row r="49" spans="1:8" ht="15.5" x14ac:dyDescent="0.35">
      <c r="A49" s="106"/>
      <c r="B49"/>
      <c r="C49" s="439" t="s">
        <v>193</v>
      </c>
      <c r="D49" s="439"/>
      <c r="E49" s="439"/>
      <c r="F49" s="439"/>
      <c r="G49"/>
      <c r="H49" s="106"/>
    </row>
    <row r="50" spans="1:8" ht="15" thickBot="1" x14ac:dyDescent="0.4">
      <c r="A50" s="106"/>
      <c r="B50"/>
      <c r="C50" s="131" t="s">
        <v>194</v>
      </c>
      <c r="D50" s="131"/>
      <c r="E50" s="131"/>
      <c r="F50" s="131"/>
      <c r="G50"/>
      <c r="H50" s="106"/>
    </row>
    <row r="51" spans="1:8" x14ac:dyDescent="0.35">
      <c r="A51" s="106"/>
      <c r="B51"/>
      <c r="C51" s="97" t="s">
        <v>54</v>
      </c>
      <c r="D51" s="347"/>
      <c r="E51" s="129"/>
      <c r="F51" s="183">
        <f>((F9*F14*F15)-(F10*F14*F15))/3600</f>
        <v>12523.762645848648</v>
      </c>
      <c r="G51"/>
      <c r="H51" s="106"/>
    </row>
    <row r="52" spans="1:8" ht="15" thickBot="1" x14ac:dyDescent="0.4">
      <c r="A52" s="106"/>
      <c r="B52"/>
      <c r="C52" s="116" t="s">
        <v>47</v>
      </c>
      <c r="D52" s="348"/>
      <c r="E52" s="349"/>
      <c r="F52" s="214" t="s">
        <v>109</v>
      </c>
      <c r="G52"/>
      <c r="H52" s="106"/>
    </row>
    <row r="53" spans="1:8" x14ac:dyDescent="0.35">
      <c r="A53" s="106"/>
      <c r="B53"/>
      <c r="C53" s="2"/>
      <c r="D53" s="127"/>
      <c r="E53" s="127"/>
      <c r="F53" s="129"/>
      <c r="G53"/>
      <c r="H53" s="106"/>
    </row>
    <row r="54" spans="1:8" ht="15" thickBot="1" x14ac:dyDescent="0.4">
      <c r="A54" s="106"/>
      <c r="B54"/>
      <c r="C54" s="318" t="s">
        <v>202</v>
      </c>
      <c r="D54" s="33"/>
      <c r="E54" s="33"/>
      <c r="F54" s="33"/>
      <c r="G54"/>
      <c r="H54" s="106"/>
    </row>
    <row r="55" spans="1:8" x14ac:dyDescent="0.35">
      <c r="A55" s="106"/>
      <c r="B55"/>
      <c r="C55" s="361" t="s">
        <v>463</v>
      </c>
      <c r="D55" s="351"/>
      <c r="E55" s="351"/>
      <c r="F55" s="364">
        <f>((F34-F41)*F$15)/1000</f>
        <v>30474.206866293731</v>
      </c>
      <c r="G55"/>
      <c r="H55" s="106"/>
    </row>
    <row r="56" spans="1:8" ht="12.75" customHeight="1" x14ac:dyDescent="0.35">
      <c r="A56" s="106"/>
      <c r="B56"/>
      <c r="C56" s="359" t="s">
        <v>488</v>
      </c>
      <c r="D56" s="350"/>
      <c r="E56" s="350"/>
      <c r="F56" s="365">
        <f t="shared" ref="F56:F61" si="3">((F35-F42)*F$15)/1000</f>
        <v>19.878728304903959</v>
      </c>
      <c r="G56" s="155" t="s">
        <v>511</v>
      </c>
      <c r="H56" s="106"/>
    </row>
    <row r="57" spans="1:8" x14ac:dyDescent="0.35">
      <c r="A57" s="106"/>
      <c r="B57"/>
      <c r="C57" s="359" t="s">
        <v>489</v>
      </c>
      <c r="D57" s="350"/>
      <c r="E57" s="350"/>
      <c r="F57" s="365">
        <f t="shared" si="3"/>
        <v>0.47680957963408138</v>
      </c>
      <c r="G57" s="155" t="s">
        <v>511</v>
      </c>
      <c r="H57" s="106"/>
    </row>
    <row r="58" spans="1:8" x14ac:dyDescent="0.35">
      <c r="A58" s="106"/>
      <c r="B58"/>
      <c r="C58" s="359" t="s">
        <v>464</v>
      </c>
      <c r="D58" s="350"/>
      <c r="E58" s="350"/>
      <c r="F58" s="365">
        <f t="shared" si="3"/>
        <v>20.573056298466376</v>
      </c>
      <c r="G58"/>
      <c r="H58" s="106"/>
    </row>
    <row r="59" spans="1:8" x14ac:dyDescent="0.35">
      <c r="A59" s="106"/>
      <c r="B59"/>
      <c r="C59" s="359" t="s">
        <v>465</v>
      </c>
      <c r="D59" s="350"/>
      <c r="E59" s="350"/>
      <c r="F59" s="365">
        <f t="shared" si="3"/>
        <v>2.9886465836836154</v>
      </c>
      <c r="G59"/>
      <c r="H59" s="106"/>
    </row>
    <row r="60" spans="1:8" x14ac:dyDescent="0.35">
      <c r="A60" s="106"/>
      <c r="B60"/>
      <c r="C60" s="359" t="s">
        <v>466</v>
      </c>
      <c r="D60" s="350"/>
      <c r="E60" s="350"/>
      <c r="F60" s="365">
        <f t="shared" si="3"/>
        <v>0.19501142112486222</v>
      </c>
      <c r="G60"/>
      <c r="H60" s="106"/>
    </row>
    <row r="61" spans="1:8" ht="15" thickBot="1" x14ac:dyDescent="0.4">
      <c r="A61" s="106"/>
      <c r="B61"/>
      <c r="C61" s="360" t="s">
        <v>467</v>
      </c>
      <c r="D61" s="352"/>
      <c r="E61" s="352"/>
      <c r="F61" s="366">
        <f t="shared" si="3"/>
        <v>33.702690805664389</v>
      </c>
      <c r="G61"/>
      <c r="H61" s="106"/>
    </row>
    <row r="62" spans="1:8" x14ac:dyDescent="0.35">
      <c r="A62" s="106"/>
      <c r="B62"/>
      <c r="C62" s="363" t="s">
        <v>468</v>
      </c>
      <c r="D62" s="353"/>
      <c r="E62" s="353"/>
      <c r="F62" s="341">
        <f>(F55)/$F$15</f>
        <v>121.89682746517492</v>
      </c>
      <c r="G62"/>
      <c r="H62" s="106"/>
    </row>
    <row r="63" spans="1:8" x14ac:dyDescent="0.35">
      <c r="A63" s="106"/>
      <c r="B63"/>
      <c r="C63" s="359" t="s">
        <v>469</v>
      </c>
      <c r="D63" s="350"/>
      <c r="E63" s="350"/>
      <c r="F63" s="321">
        <f t="shared" ref="F63:F68" si="4">(F56)/$F$15</f>
        <v>7.9514913219615832E-2</v>
      </c>
      <c r="G63"/>
      <c r="H63" s="106"/>
    </row>
    <row r="64" spans="1:8" x14ac:dyDescent="0.35">
      <c r="A64" s="106"/>
      <c r="B64"/>
      <c r="C64" s="359" t="s">
        <v>470</v>
      </c>
      <c r="D64" s="350"/>
      <c r="E64" s="350"/>
      <c r="F64" s="321">
        <f t="shared" si="4"/>
        <v>1.9072383185363255E-3</v>
      </c>
      <c r="G64"/>
      <c r="H64" s="106"/>
    </row>
    <row r="65" spans="1:31" x14ac:dyDescent="0.35">
      <c r="A65" s="106"/>
      <c r="B65" s="118"/>
      <c r="C65" s="359" t="s">
        <v>490</v>
      </c>
      <c r="D65" s="350"/>
      <c r="E65" s="350"/>
      <c r="F65" s="321">
        <f t="shared" si="4"/>
        <v>8.2292225193865504E-2</v>
      </c>
      <c r="G65" s="155" t="s">
        <v>511</v>
      </c>
      <c r="H65" s="106"/>
    </row>
    <row r="66" spans="1:31" x14ac:dyDescent="0.35">
      <c r="A66" s="106"/>
      <c r="B66"/>
      <c r="C66" s="359" t="s">
        <v>491</v>
      </c>
      <c r="D66" s="350"/>
      <c r="E66" s="350"/>
      <c r="F66" s="321">
        <f t="shared" si="4"/>
        <v>1.1954586334734462E-2</v>
      </c>
      <c r="G66" s="155" t="s">
        <v>511</v>
      </c>
      <c r="H66" s="106"/>
    </row>
    <row r="67" spans="1:31" x14ac:dyDescent="0.35">
      <c r="A67" s="106"/>
      <c r="B67"/>
      <c r="C67" s="359" t="s">
        <v>471</v>
      </c>
      <c r="D67" s="350"/>
      <c r="E67" s="350"/>
      <c r="F67" s="321">
        <f t="shared" si="4"/>
        <v>7.8004568449944892E-4</v>
      </c>
      <c r="G67"/>
      <c r="H67" s="106"/>
    </row>
    <row r="68" spans="1:31" ht="15" thickBot="1" x14ac:dyDescent="0.4">
      <c r="A68" s="106"/>
      <c r="B68"/>
      <c r="C68" s="360" t="s">
        <v>492</v>
      </c>
      <c r="D68" s="352"/>
      <c r="E68" s="352"/>
      <c r="F68" s="362">
        <f t="shared" si="4"/>
        <v>0.13481076322265756</v>
      </c>
      <c r="G68" s="155" t="s">
        <v>511</v>
      </c>
      <c r="H68" s="106"/>
    </row>
    <row r="69" spans="1:31" ht="15" thickBot="1" x14ac:dyDescent="0.4">
      <c r="A69" s="106"/>
      <c r="B69"/>
      <c r="C69" s="101"/>
      <c r="D69" s="101"/>
      <c r="E69" s="26"/>
      <c r="F69" s="367"/>
      <c r="G69"/>
      <c r="H69" s="106"/>
    </row>
    <row r="70" spans="1:31" x14ac:dyDescent="0.35">
      <c r="A70" s="106"/>
      <c r="B70"/>
      <c r="C70" s="361" t="s">
        <v>472</v>
      </c>
      <c r="D70" s="380"/>
      <c r="E70" s="380"/>
      <c r="F70" s="368">
        <v>539200</v>
      </c>
      <c r="G70"/>
      <c r="H70" s="106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</row>
    <row r="71" spans="1:31" x14ac:dyDescent="0.35">
      <c r="A71" s="106"/>
      <c r="B71"/>
      <c r="C71" s="359" t="s">
        <v>473</v>
      </c>
      <c r="D71" s="381"/>
      <c r="E71" s="381"/>
      <c r="F71" s="369">
        <v>20</v>
      </c>
      <c r="G71"/>
      <c r="H71" s="106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</row>
    <row r="72" spans="1:31" x14ac:dyDescent="0.35">
      <c r="A72" s="106"/>
      <c r="B72"/>
      <c r="C72" s="359" t="s">
        <v>493</v>
      </c>
      <c r="D72" s="381"/>
      <c r="E72" s="381"/>
      <c r="F72" s="370">
        <f>(F$70/F$71)/F56</f>
        <v>1356.2235766031943</v>
      </c>
      <c r="G72" s="155" t="s">
        <v>511</v>
      </c>
      <c r="H72" s="106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</row>
    <row r="73" spans="1:31" x14ac:dyDescent="0.35">
      <c r="A73" s="106"/>
      <c r="B73"/>
      <c r="C73" s="359" t="s">
        <v>494</v>
      </c>
      <c r="D73" s="381"/>
      <c r="E73" s="381"/>
      <c r="F73" s="370">
        <f>(F$70/F$71)/F57</f>
        <v>56542.488136857377</v>
      </c>
      <c r="G73" s="155" t="s">
        <v>511</v>
      </c>
      <c r="H73" s="106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</row>
    <row r="74" spans="1:31" x14ac:dyDescent="0.35">
      <c r="A74" s="106"/>
      <c r="B74"/>
      <c r="C74" s="359" t="s">
        <v>495</v>
      </c>
      <c r="D74" s="381"/>
      <c r="E74" s="381"/>
      <c r="F74" s="370">
        <f>((F$70/F$71)/F$15)/F65</f>
        <v>1310.4518652393783</v>
      </c>
      <c r="G74" s="155" t="s">
        <v>511</v>
      </c>
      <c r="H74" s="106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</row>
    <row r="75" spans="1:31" x14ac:dyDescent="0.35">
      <c r="A75" s="106"/>
      <c r="B75"/>
      <c r="C75" s="359" t="s">
        <v>496</v>
      </c>
      <c r="D75" s="381"/>
      <c r="E75" s="381"/>
      <c r="F75" s="370">
        <f>((F$70/F$71)/F$15)/F66</f>
        <v>9020.8056540331454</v>
      </c>
      <c r="G75" s="155" t="s">
        <v>511</v>
      </c>
      <c r="H75" s="106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</row>
    <row r="76" spans="1:31" ht="15" thickBot="1" x14ac:dyDescent="0.4">
      <c r="A76" s="106"/>
      <c r="B76"/>
      <c r="C76" s="360" t="s">
        <v>497</v>
      </c>
      <c r="D76" s="382"/>
      <c r="E76" s="382"/>
      <c r="F76" s="371">
        <f>((F$70/F$71)/F$15)/F68</f>
        <v>799.93612840755281</v>
      </c>
      <c r="G76" s="155" t="s">
        <v>511</v>
      </c>
      <c r="H76" s="106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</row>
    <row r="77" spans="1:31" ht="15" thickBot="1" x14ac:dyDescent="0.4">
      <c r="A77" s="106"/>
      <c r="B77"/>
      <c r="C77" s="325"/>
      <c r="D77" s="122"/>
      <c r="E77" s="264"/>
      <c r="F77" s="326"/>
      <c r="G77"/>
      <c r="H77" s="106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</row>
    <row r="78" spans="1:31" x14ac:dyDescent="0.35">
      <c r="A78" s="106"/>
      <c r="B78" s="106"/>
      <c r="C78" s="106"/>
      <c r="D78" s="106"/>
      <c r="E78" s="106"/>
      <c r="F78" s="106"/>
      <c r="G78" s="106"/>
      <c r="H78" s="106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</row>
    <row r="79" spans="1:31" x14ac:dyDescent="0.35">
      <c r="C79" s="103"/>
      <c r="D79" s="125"/>
    </row>
    <row r="80" spans="1:31" x14ac:dyDescent="0.35">
      <c r="C80" s="121"/>
    </row>
  </sheetData>
  <mergeCells count="5">
    <mergeCell ref="C3:F3"/>
    <mergeCell ref="C5:F5"/>
    <mergeCell ref="C12:F12"/>
    <mergeCell ref="C32:F32"/>
    <mergeCell ref="C49:F49"/>
  </mergeCells>
  <printOptions headings="1" gridLines="1"/>
  <pageMargins left="0.7" right="0.7" top="0.75" bottom="0.75" header="0.3" footer="0.3"/>
  <pageSetup paperSize="17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OtherVariables!$P$24:$P$39</xm:f>
          </x14:formula1>
          <xm:sqref>F7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B108"/>
  <sheetViews>
    <sheetView showGridLines="0" zoomScale="85" zoomScaleNormal="85" workbookViewId="0">
      <selection activeCell="F7" sqref="F7"/>
    </sheetView>
  </sheetViews>
  <sheetFormatPr defaultColWidth="9.08984375" defaultRowHeight="14.5" x14ac:dyDescent="0.35"/>
  <cols>
    <col min="1" max="1" width="2.453125" style="78" customWidth="1"/>
    <col min="2" max="2" width="1.54296875" style="78" customWidth="1"/>
    <col min="3" max="3" width="80.54296875" style="78" customWidth="1"/>
    <col min="4" max="4" width="18" style="78" hidden="1" customWidth="1"/>
    <col min="5" max="5" width="18.453125" style="78" hidden="1" customWidth="1"/>
    <col min="6" max="6" width="26.453125" style="78" customWidth="1"/>
    <col min="7" max="7" width="5.6328125" style="78" customWidth="1"/>
    <col min="8" max="8" width="2.453125" style="78" customWidth="1"/>
    <col min="9" max="9" width="12.54296875" style="170" customWidth="1"/>
    <col min="10" max="10" width="13" style="170" customWidth="1"/>
    <col min="11" max="11" width="22.54296875" style="170" bestFit="1" customWidth="1"/>
    <col min="12" max="12" width="11.08984375" style="170" customWidth="1"/>
    <col min="13" max="17" width="9.08984375" style="170"/>
    <col min="18" max="18" width="25.54296875" style="170" customWidth="1"/>
    <col min="19" max="19" width="20.453125" style="170" customWidth="1"/>
    <col min="20" max="21" width="9.08984375" style="170"/>
    <col min="22" max="22" width="22.54296875" style="170" bestFit="1" customWidth="1"/>
    <col min="23" max="28" width="9.08984375" style="170"/>
    <col min="29" max="16384" width="9.08984375" style="78"/>
  </cols>
  <sheetData>
    <row r="1" spans="1:17" ht="12" customHeight="1" x14ac:dyDescent="0.35">
      <c r="A1" s="106"/>
      <c r="B1" s="106"/>
      <c r="C1" s="106"/>
      <c r="D1" s="106"/>
      <c r="E1" s="106"/>
      <c r="F1" s="106"/>
      <c r="G1" s="106"/>
      <c r="H1" s="106"/>
    </row>
    <row r="2" spans="1:17" ht="8.25" customHeight="1" x14ac:dyDescent="0.35">
      <c r="A2" s="106"/>
      <c r="B2" s="118"/>
      <c r="C2" s="440"/>
      <c r="D2" s="440"/>
      <c r="E2" s="440"/>
      <c r="F2" s="440"/>
      <c r="G2" s="118"/>
      <c r="H2" s="106"/>
    </row>
    <row r="3" spans="1:17" ht="29.25" customHeight="1" x14ac:dyDescent="0.35">
      <c r="A3" s="106"/>
      <c r="B3"/>
      <c r="C3" s="441" t="s">
        <v>226</v>
      </c>
      <c r="D3" s="441"/>
      <c r="E3" s="441"/>
      <c r="F3" s="441"/>
      <c r="G3" s="91"/>
      <c r="H3" s="106"/>
    </row>
    <row r="4" spans="1:17" ht="15" customHeight="1" x14ac:dyDescent="0.35">
      <c r="A4" s="106"/>
      <c r="B4"/>
      <c r="C4"/>
      <c r="D4"/>
      <c r="E4"/>
      <c r="F4"/>
      <c r="G4"/>
      <c r="H4" s="106"/>
    </row>
    <row r="5" spans="1:17" ht="15" customHeight="1" x14ac:dyDescent="0.35">
      <c r="A5" s="106"/>
      <c r="B5"/>
      <c r="C5" s="442" t="s">
        <v>196</v>
      </c>
      <c r="D5" s="442"/>
      <c r="E5" s="442"/>
      <c r="F5" s="442"/>
      <c r="G5"/>
      <c r="H5" s="106"/>
    </row>
    <row r="6" spans="1:17" ht="15" customHeight="1" x14ac:dyDescent="0.35">
      <c r="A6" s="106"/>
      <c r="B6"/>
      <c r="C6" s="128" t="s">
        <v>199</v>
      </c>
      <c r="D6" s="119"/>
      <c r="E6" s="118"/>
      <c r="F6" s="128" t="s">
        <v>200</v>
      </c>
      <c r="G6" s="25"/>
      <c r="H6" s="106"/>
    </row>
    <row r="7" spans="1:17" ht="15" customHeight="1" x14ac:dyDescent="0.35">
      <c r="A7" s="106"/>
      <c r="B7"/>
      <c r="C7" s="81" t="s">
        <v>203</v>
      </c>
      <c r="D7" s="140">
        <v>2025</v>
      </c>
      <c r="E7" s="140">
        <v>2035</v>
      </c>
      <c r="F7" s="140">
        <v>2030</v>
      </c>
      <c r="G7" s="25"/>
      <c r="H7" s="106"/>
    </row>
    <row r="8" spans="1:17" ht="15" customHeight="1" x14ac:dyDescent="0.35">
      <c r="A8" s="106"/>
      <c r="B8"/>
      <c r="C8" s="81" t="s">
        <v>416</v>
      </c>
      <c r="D8" s="19"/>
      <c r="E8" s="19"/>
      <c r="F8" s="20" t="s">
        <v>415</v>
      </c>
      <c r="G8" s="25"/>
      <c r="H8" s="106"/>
    </row>
    <row r="9" spans="1:17" ht="15" customHeight="1" x14ac:dyDescent="0.35">
      <c r="A9" s="106"/>
      <c r="B9"/>
      <c r="C9" s="81" t="s">
        <v>224</v>
      </c>
      <c r="D9" s="19"/>
      <c r="E9" s="19"/>
      <c r="F9" s="19" t="s">
        <v>21</v>
      </c>
      <c r="G9" s="25"/>
      <c r="H9" s="106"/>
      <c r="J9" s="253"/>
    </row>
    <row r="10" spans="1:17" ht="15" customHeight="1" x14ac:dyDescent="0.35">
      <c r="A10" s="106"/>
      <c r="B10"/>
      <c r="C10" s="81" t="s">
        <v>86</v>
      </c>
      <c r="D10" s="19"/>
      <c r="E10" s="19"/>
      <c r="F10" s="19">
        <v>10.9</v>
      </c>
      <c r="G10" s="25"/>
      <c r="H10" s="106"/>
      <c r="J10" s="253"/>
    </row>
    <row r="11" spans="1:17" x14ac:dyDescent="0.35">
      <c r="A11" s="106"/>
      <c r="B11"/>
      <c r="C11" s="85" t="s">
        <v>318</v>
      </c>
      <c r="D11" s="19"/>
      <c r="E11" s="19"/>
      <c r="F11" s="19">
        <v>100</v>
      </c>
      <c r="G11" s="25"/>
      <c r="H11" s="106"/>
      <c r="J11" s="253"/>
    </row>
    <row r="12" spans="1:17" x14ac:dyDescent="0.35">
      <c r="A12" s="106"/>
      <c r="B12"/>
      <c r="C12" s="50" t="s">
        <v>310</v>
      </c>
      <c r="D12" s="250"/>
      <c r="E12" s="251"/>
      <c r="F12" s="173"/>
      <c r="G12" s="25"/>
      <c r="H12" s="106"/>
      <c r="J12" s="253"/>
      <c r="K12" s="253"/>
    </row>
    <row r="13" spans="1:17" ht="15" customHeight="1" x14ac:dyDescent="0.35">
      <c r="A13" s="106"/>
      <c r="B13"/>
      <c r="C13" s="81" t="s">
        <v>313</v>
      </c>
      <c r="D13" s="19"/>
      <c r="E13" s="19"/>
      <c r="F13" s="19">
        <v>60</v>
      </c>
      <c r="G13" s="16"/>
      <c r="H13" s="106"/>
      <c r="J13" s="253"/>
      <c r="K13" s="253"/>
    </row>
    <row r="14" spans="1:17" ht="15" customHeight="1" x14ac:dyDescent="0.35">
      <c r="A14" s="106"/>
      <c r="B14"/>
      <c r="C14" s="180" t="s">
        <v>315</v>
      </c>
      <c r="D14" s="19"/>
      <c r="E14" s="19"/>
      <c r="F14" s="252">
        <v>2</v>
      </c>
      <c r="G14" s="16"/>
      <c r="H14" s="106"/>
      <c r="J14" s="253"/>
      <c r="K14" s="253"/>
    </row>
    <row r="15" spans="1:17" ht="15" customHeight="1" x14ac:dyDescent="0.35">
      <c r="A15" s="106"/>
      <c r="B15"/>
      <c r="C15" s="50" t="s">
        <v>311</v>
      </c>
      <c r="D15" s="250"/>
      <c r="E15" s="251"/>
      <c r="F15" s="173"/>
      <c r="G15" s="16"/>
      <c r="H15" s="106"/>
      <c r="K15" s="253"/>
    </row>
    <row r="16" spans="1:17" ht="15" customHeight="1" x14ac:dyDescent="0.35">
      <c r="A16" s="106"/>
      <c r="B16"/>
      <c r="C16" s="81" t="s">
        <v>314</v>
      </c>
      <c r="D16" s="19"/>
      <c r="E16" s="19"/>
      <c r="F16" s="19">
        <v>60</v>
      </c>
      <c r="G16" s="16"/>
      <c r="H16" s="106"/>
      <c r="J16" s="216"/>
      <c r="L16" s="216"/>
      <c r="P16" s="239"/>
      <c r="Q16" s="239"/>
    </row>
    <row r="17" spans="1:17" ht="15" customHeight="1" x14ac:dyDescent="0.35">
      <c r="A17" s="106"/>
      <c r="B17"/>
      <c r="C17" s="180" t="s">
        <v>316</v>
      </c>
      <c r="D17" s="19"/>
      <c r="E17" s="19"/>
      <c r="F17" s="252">
        <v>2</v>
      </c>
      <c r="G17" s="16"/>
      <c r="H17" s="106"/>
      <c r="J17" s="216"/>
      <c r="L17" s="216"/>
      <c r="P17" s="239"/>
      <c r="Q17" s="239"/>
    </row>
    <row r="18" spans="1:17" ht="15" customHeight="1" x14ac:dyDescent="0.35">
      <c r="A18" s="106"/>
      <c r="B18"/>
      <c r="C18" s="50" t="s">
        <v>312</v>
      </c>
      <c r="D18" s="250"/>
      <c r="E18" s="251"/>
      <c r="F18" s="173"/>
      <c r="G18" s="16"/>
      <c r="H18" s="106"/>
      <c r="J18" s="216"/>
      <c r="L18" s="216"/>
      <c r="P18" s="239"/>
      <c r="Q18" s="239"/>
    </row>
    <row r="19" spans="1:17" ht="15" customHeight="1" x14ac:dyDescent="0.35">
      <c r="A19" s="106"/>
      <c r="B19"/>
      <c r="C19" s="81" t="s">
        <v>84</v>
      </c>
      <c r="D19" s="19"/>
      <c r="E19" s="19"/>
      <c r="F19" s="19">
        <v>0</v>
      </c>
      <c r="G19" s="16"/>
      <c r="H19" s="106"/>
      <c r="J19" s="254"/>
      <c r="L19" s="216"/>
      <c r="P19" s="239"/>
      <c r="Q19" s="239"/>
    </row>
    <row r="20" spans="1:17" ht="15" customHeight="1" x14ac:dyDescent="0.35">
      <c r="A20" s="106"/>
      <c r="B20"/>
      <c r="C20" s="180" t="s">
        <v>317</v>
      </c>
      <c r="D20" s="19"/>
      <c r="E20" s="19"/>
      <c r="F20" s="252">
        <v>20</v>
      </c>
      <c r="G20" s="16"/>
      <c r="H20" s="106"/>
      <c r="J20" s="216"/>
    </row>
    <row r="21" spans="1:17" x14ac:dyDescent="0.35">
      <c r="A21" s="106"/>
      <c r="B21"/>
      <c r="C21"/>
      <c r="D21" s="90"/>
      <c r="E21" s="90"/>
      <c r="F21" s="90"/>
      <c r="G21" s="25"/>
      <c r="H21" s="106"/>
      <c r="J21" s="216"/>
    </row>
    <row r="22" spans="1:17" ht="15.5" x14ac:dyDescent="0.35">
      <c r="A22" s="106"/>
      <c r="B22"/>
      <c r="C22" s="442" t="s">
        <v>195</v>
      </c>
      <c r="D22" s="442"/>
      <c r="E22" s="442"/>
      <c r="F22" s="442"/>
      <c r="G22" s="25"/>
      <c r="H22" s="106"/>
      <c r="J22" s="238"/>
    </row>
    <row r="23" spans="1:17" x14ac:dyDescent="0.35">
      <c r="A23" s="106"/>
      <c r="B23"/>
      <c r="C23" s="171" t="s">
        <v>1</v>
      </c>
      <c r="D23"/>
      <c r="E23"/>
      <c r="F23"/>
      <c r="G23" s="16"/>
      <c r="H23" s="106"/>
      <c r="J23" s="238"/>
    </row>
    <row r="24" spans="1:17" x14ac:dyDescent="0.35">
      <c r="A24" s="106"/>
      <c r="B24"/>
      <c r="C24" s="81" t="s">
        <v>46</v>
      </c>
      <c r="D24" s="51"/>
      <c r="E24" s="51"/>
      <c r="F24" s="51">
        <v>1.2</v>
      </c>
      <c r="G24" s="16"/>
      <c r="H24" s="106"/>
    </row>
    <row r="25" spans="1:17" x14ac:dyDescent="0.35">
      <c r="A25" s="106"/>
      <c r="B25"/>
      <c r="C25" s="81" t="s">
        <v>89</v>
      </c>
      <c r="D25" s="52"/>
      <c r="E25" s="52"/>
      <c r="F25" s="51">
        <v>34</v>
      </c>
      <c r="G25" s="56"/>
      <c r="H25" s="106"/>
    </row>
    <row r="26" spans="1:17" x14ac:dyDescent="0.35">
      <c r="A26" s="106"/>
      <c r="B26"/>
      <c r="C26" s="81" t="s">
        <v>105</v>
      </c>
      <c r="D26" s="52"/>
      <c r="E26" s="52"/>
      <c r="F26" s="51">
        <v>250</v>
      </c>
      <c r="G26" s="60"/>
      <c r="H26" s="106"/>
    </row>
    <row r="27" spans="1:17" x14ac:dyDescent="0.35">
      <c r="A27" s="106"/>
      <c r="B27"/>
      <c r="C27" s="81" t="s">
        <v>9</v>
      </c>
      <c r="D27" s="52"/>
      <c r="E27" s="52"/>
      <c r="F27" s="51">
        <v>16</v>
      </c>
      <c r="G27" s="16"/>
      <c r="H27" s="106"/>
    </row>
    <row r="28" spans="1:17" x14ac:dyDescent="0.35">
      <c r="A28" s="106"/>
      <c r="B28"/>
      <c r="C28" s="81" t="s">
        <v>180</v>
      </c>
      <c r="D28" s="69"/>
      <c r="E28" s="69"/>
      <c r="F28" s="69">
        <f>12.1/47.4</f>
        <v>0.25527426160337552</v>
      </c>
      <c r="G28" s="16"/>
      <c r="H28" s="106"/>
    </row>
    <row r="29" spans="1:17" x14ac:dyDescent="0.35">
      <c r="A29" s="106"/>
      <c r="B29"/>
      <c r="C29" s="81" t="s">
        <v>181</v>
      </c>
      <c r="D29" s="69"/>
      <c r="E29" s="69"/>
      <c r="F29" s="69">
        <f>10.1/47.4</f>
        <v>0.21308016877637131</v>
      </c>
      <c r="G29" s="16"/>
      <c r="H29" s="106"/>
      <c r="L29" s="217"/>
    </row>
    <row r="30" spans="1:17" x14ac:dyDescent="0.35">
      <c r="A30" s="106"/>
      <c r="B30"/>
      <c r="C30" s="81" t="s">
        <v>179</v>
      </c>
      <c r="D30" s="54"/>
      <c r="E30" s="54"/>
      <c r="F30" s="54">
        <v>-0.54</v>
      </c>
      <c r="G30" s="16"/>
      <c r="H30" s="106"/>
      <c r="L30" s="217"/>
    </row>
    <row r="31" spans="1:17" x14ac:dyDescent="0.35">
      <c r="A31" s="106"/>
      <c r="B31"/>
      <c r="C31" s="50" t="s">
        <v>172</v>
      </c>
      <c r="D31" s="148"/>
      <c r="E31" s="148"/>
      <c r="F31" s="148"/>
      <c r="G31" s="16"/>
      <c r="H31" s="106"/>
      <c r="L31" s="217"/>
    </row>
    <row r="32" spans="1:17" x14ac:dyDescent="0.35">
      <c r="A32" s="106"/>
      <c r="B32"/>
      <c r="C32" s="89" t="s">
        <v>167</v>
      </c>
      <c r="D32" s="61">
        <f>'2025ER'!I5</f>
        <v>291.52608307900914</v>
      </c>
      <c r="E32" s="61">
        <f>'2035ER'!I5</f>
        <v>160.82421620503999</v>
      </c>
      <c r="F32" s="54">
        <f>IF($F$7&gt;2035,E32,TREND(D32:E32,$D$7:$E$7,$F$7))</f>
        <v>226.17514964202564</v>
      </c>
      <c r="G32" s="16"/>
      <c r="H32" s="106"/>
      <c r="I32" s="238"/>
    </row>
    <row r="33" spans="1:9" x14ac:dyDescent="0.35">
      <c r="A33" s="106"/>
      <c r="B33"/>
      <c r="C33" s="89" t="s">
        <v>168</v>
      </c>
      <c r="D33" s="61">
        <f>'2025ER'!I22</f>
        <v>0.13145466692786012</v>
      </c>
      <c r="E33" s="61">
        <f>'2035ER'!I22</f>
        <v>1.6214293245889414E-2</v>
      </c>
      <c r="F33" s="54">
        <f t="shared" ref="F33:F38" si="0">IF($F$7&gt;2035,E33,TREND(D33:E33,$D$7:$E$7,$F$7))</f>
        <v>7.38344800868731E-2</v>
      </c>
      <c r="G33" s="16"/>
      <c r="H33" s="106"/>
      <c r="I33" s="240"/>
    </row>
    <row r="34" spans="1:9" x14ac:dyDescent="0.35">
      <c r="A34" s="106"/>
      <c r="B34"/>
      <c r="C34" s="89" t="s">
        <v>169</v>
      </c>
      <c r="D34" s="61">
        <f>'2025ER'!I39</f>
        <v>2.6350581764428382E-3</v>
      </c>
      <c r="E34" s="61">
        <f>'2035ER'!I39</f>
        <v>9.678746163788055E-4</v>
      </c>
      <c r="F34" s="54">
        <f t="shared" si="0"/>
        <v>1.8014663964108224E-3</v>
      </c>
      <c r="G34" s="16"/>
      <c r="H34" s="106"/>
      <c r="I34" s="240"/>
    </row>
    <row r="35" spans="1:9" x14ac:dyDescent="0.35">
      <c r="A35" s="106"/>
      <c r="B35"/>
      <c r="C35" s="89" t="s">
        <v>170</v>
      </c>
      <c r="D35" s="61">
        <f>'2025ER'!I56</f>
        <v>0.12918463409807573</v>
      </c>
      <c r="E35" s="61">
        <f>'2035ER'!I56</f>
        <v>1.5995456495301826E-2</v>
      </c>
      <c r="F35" s="54">
        <f t="shared" si="0"/>
        <v>7.2590045296688999E-2</v>
      </c>
      <c r="G35" s="16"/>
      <c r="H35" s="106"/>
      <c r="I35" s="240"/>
    </row>
    <row r="36" spans="1:9" x14ac:dyDescent="0.35">
      <c r="A36" s="106"/>
      <c r="B36"/>
      <c r="C36" s="89" t="s">
        <v>171</v>
      </c>
      <c r="D36" s="61">
        <f>'2025ER'!I73</f>
        <v>8.4787773979186035E-2</v>
      </c>
      <c r="E36" s="61">
        <f>'2035ER'!I73</f>
        <v>3.9150606520751904E-2</v>
      </c>
      <c r="F36" s="54">
        <f t="shared" si="0"/>
        <v>6.1969190249968165E-2</v>
      </c>
      <c r="G36" s="16"/>
      <c r="H36" s="106"/>
    </row>
    <row r="37" spans="1:9" x14ac:dyDescent="0.35">
      <c r="A37" s="106"/>
      <c r="B37"/>
      <c r="C37" s="89" t="s">
        <v>401</v>
      </c>
      <c r="D37" s="61">
        <f>'2025ER'!I90</f>
        <v>1.9839139389332865E-3</v>
      </c>
      <c r="E37" s="61">
        <f>'2035ER'!I90</f>
        <v>1.0963293678760368E-3</v>
      </c>
      <c r="F37" s="54">
        <f t="shared" si="0"/>
        <v>1.5401216534046691E-3</v>
      </c>
      <c r="G37" s="16"/>
      <c r="H37" s="106"/>
    </row>
    <row r="38" spans="1:9" x14ac:dyDescent="0.35">
      <c r="A38" s="106"/>
      <c r="B38"/>
      <c r="C38" s="89" t="s">
        <v>402</v>
      </c>
      <c r="D38" s="61">
        <f>'2025ER'!I107</f>
        <v>2.4444866254681359</v>
      </c>
      <c r="E38" s="61">
        <f>'2035ER'!I107</f>
        <v>1.093425148663719</v>
      </c>
      <c r="F38" s="54">
        <f t="shared" si="0"/>
        <v>1.7689558870659425</v>
      </c>
      <c r="G38" s="16"/>
      <c r="H38" s="106"/>
    </row>
    <row r="39" spans="1:9" x14ac:dyDescent="0.35">
      <c r="A39" s="106"/>
      <c r="B39"/>
      <c r="C39" s="50" t="s">
        <v>173</v>
      </c>
      <c r="D39" s="2"/>
      <c r="E39" s="2"/>
      <c r="F39" s="2"/>
      <c r="G39" s="16"/>
      <c r="H39" s="106"/>
    </row>
    <row r="40" spans="1:9" x14ac:dyDescent="0.35">
      <c r="A40" s="106"/>
      <c r="B40"/>
      <c r="C40" s="89" t="s">
        <v>167</v>
      </c>
      <c r="D40" s="68">
        <f>IF($F$8=OtherVariables!$A$149, '2025ER'!$S$5,IF($F$8=OtherVariables!$A$150, '2025ER'!$N$5, "Error"))</f>
        <v>373.69675359579321</v>
      </c>
      <c r="E40" s="68">
        <f>IF($F$8=OtherVariables!$A$149, '2035ER'!$S$5,IF($F$8=OtherVariables!$A$150, '2035ER'!$N$5, "Error"))</f>
        <v>240.97930787474459</v>
      </c>
      <c r="F40" s="54">
        <f>IF($F$7&gt;2035,E40,TREND(D40:E40,$D$7:$E$7,$F$7))</f>
        <v>307.33803073526724</v>
      </c>
      <c r="G40" s="16"/>
      <c r="H40" s="106"/>
    </row>
    <row r="41" spans="1:9" x14ac:dyDescent="0.35">
      <c r="A41" s="106"/>
      <c r="B41"/>
      <c r="C41" s="89" t="s">
        <v>168</v>
      </c>
      <c r="D41" s="68">
        <f>IF($F$8=OtherVariables!$A$149, '2025ER'!$S$22,IF($F$8=OtherVariables!$A$150, '2025ER'!$N$22, "Error"))</f>
        <v>0.30937373033378418</v>
      </c>
      <c r="E41" s="68">
        <f>IF($F$8=OtherVariables!$A$149, '2035ER'!$S$22,IF($F$8=OtherVariables!$A$150, '2035ER'!$N$22, "Error"))</f>
        <v>3.035399429028976E-2</v>
      </c>
      <c r="F41" s="54">
        <f t="shared" ref="F41:F46" si="1">IF($F$7&gt;2035,E41,TREND(D41:E41,$D$7:$E$7,$F$7))</f>
        <v>0.16986386231203454</v>
      </c>
      <c r="G41" s="16"/>
      <c r="H41" s="106"/>
    </row>
    <row r="42" spans="1:9" x14ac:dyDescent="0.35">
      <c r="A42" s="106"/>
      <c r="B42"/>
      <c r="C42" s="89" t="s">
        <v>169</v>
      </c>
      <c r="D42" s="68">
        <f>IF($F$8=OtherVariables!$A$149, '2025ER'!$S$39,IF($F$8=OtherVariables!$A$150, '2025ER'!$N$39, "Error"))</f>
        <v>5.5074284231826157E-3</v>
      </c>
      <c r="E42" s="68">
        <f>IF($F$8=OtherVariables!$A$149, '2035ER'!$S$39,IF($F$8=OtherVariables!$A$150, '2035ER'!$N$39, "Error"))</f>
        <v>1.493639164800696E-3</v>
      </c>
      <c r="F42" s="54">
        <f t="shared" si="1"/>
        <v>3.5005337939916226E-3</v>
      </c>
      <c r="G42" s="16"/>
      <c r="H42" s="106"/>
    </row>
    <row r="43" spans="1:9" x14ac:dyDescent="0.35">
      <c r="A43" s="106"/>
      <c r="B43"/>
      <c r="C43" s="89" t="s">
        <v>170</v>
      </c>
      <c r="D43" s="68">
        <f>IF($F$8=OtherVariables!$A$149, '2025ER'!$S$56,IF($F$8=OtherVariables!$A$150, '2025ER'!$N$56, "Error"))</f>
        <v>0.3041146667263126</v>
      </c>
      <c r="E43" s="68">
        <f>IF($F$8=OtherVariables!$A$149, '2035ER'!$S$56,IF($F$8=OtherVariables!$A$150, '2035ER'!$N$56, "Error"))</f>
        <v>3.0048147190216482E-2</v>
      </c>
      <c r="F43" s="54">
        <f t="shared" si="1"/>
        <v>0.16708140695826756</v>
      </c>
      <c r="G43" s="16"/>
      <c r="H43" s="106"/>
    </row>
    <row r="44" spans="1:9" x14ac:dyDescent="0.35">
      <c r="A44" s="106"/>
      <c r="B44"/>
      <c r="C44" s="89" t="s">
        <v>171</v>
      </c>
      <c r="D44" s="68">
        <f>IF($F$8=OtherVariables!$A$149, '2025ER'!$S$73,IF($F$8=OtherVariables!$A$150, '2025ER'!$N$73, "Error"))</f>
        <v>0.147468539332961</v>
      </c>
      <c r="E44" s="68">
        <f>IF($F$8=OtherVariables!$A$149, '2035ER'!$S$73,IF($F$8=OtherVariables!$A$150, '2035ER'!$N$73, "Error"))</f>
        <v>5.6788340360950859E-2</v>
      </c>
      <c r="F44" s="54">
        <f t="shared" si="1"/>
        <v>0.10212843984695752</v>
      </c>
      <c r="G44" s="16"/>
      <c r="H44" s="106"/>
    </row>
    <row r="45" spans="1:9" x14ac:dyDescent="0.35">
      <c r="A45" s="106"/>
      <c r="B45"/>
      <c r="C45" s="89" t="s">
        <v>401</v>
      </c>
      <c r="D45" s="68">
        <f>IF($F$8=OtherVariables!$A$149, '2025ER'!$S$90,IF($F$8=OtherVariables!$A$150, '2025ER'!$N$90, "Error"))</f>
        <v>2.5151521753286879E-3</v>
      </c>
      <c r="E45" s="68">
        <f>IF($F$8=OtherVariables!$A$149, '2035ER'!$S$90,IF($F$8=OtherVariables!$A$150, '2035ER'!$N$90, "Error"))</f>
        <v>1.631607720628376E-3</v>
      </c>
      <c r="F45" s="54">
        <f t="shared" si="1"/>
        <v>2.0733799479785431E-3</v>
      </c>
      <c r="G45" s="16"/>
      <c r="H45" s="106"/>
    </row>
    <row r="46" spans="1:9" x14ac:dyDescent="0.35">
      <c r="A46" s="106"/>
      <c r="B46"/>
      <c r="C46" s="89" t="s">
        <v>402</v>
      </c>
      <c r="D46" s="68">
        <f>IF($F$8=OtherVariables!$A$149, '2025ER'!$S$107,IF($F$8=OtherVariables!$A$150, '2025ER'!$N$107, "Error"))</f>
        <v>3.0582351915014359</v>
      </c>
      <c r="E46" s="68">
        <f>IF($F$8=OtherVariables!$A$149, '2035ER'!$S$107,IF($F$8=OtherVariables!$A$150, '2035ER'!$N$107, "Error"))</f>
        <v>1.416138222149788</v>
      </c>
      <c r="F46" s="54">
        <f t="shared" si="1"/>
        <v>2.2371867068256392</v>
      </c>
      <c r="G46" s="16"/>
      <c r="H46" s="106"/>
    </row>
    <row r="47" spans="1:9" x14ac:dyDescent="0.35">
      <c r="A47" s="106"/>
      <c r="B47"/>
      <c r="C47"/>
      <c r="D47"/>
      <c r="E47"/>
      <c r="F47"/>
      <c r="G47" s="16"/>
      <c r="H47" s="106"/>
    </row>
    <row r="48" spans="1:9" ht="15.5" x14ac:dyDescent="0.35">
      <c r="A48" s="106"/>
      <c r="B48"/>
      <c r="C48" s="442" t="s">
        <v>192</v>
      </c>
      <c r="D48" s="442"/>
      <c r="E48" s="442"/>
      <c r="F48" s="442"/>
      <c r="G48" s="16"/>
      <c r="H48" s="106"/>
    </row>
    <row r="49" spans="1:8" ht="15.5" x14ac:dyDescent="0.35">
      <c r="A49" s="106"/>
      <c r="B49"/>
      <c r="C49" s="120" t="s">
        <v>199</v>
      </c>
      <c r="D49" s="119"/>
      <c r="E49" s="118"/>
      <c r="F49" s="120" t="s">
        <v>198</v>
      </c>
      <c r="G49" s="16"/>
      <c r="H49" s="106"/>
    </row>
    <row r="50" spans="1:8" x14ac:dyDescent="0.35">
      <c r="A50" s="106"/>
      <c r="B50"/>
      <c r="C50" s="172" t="s">
        <v>90</v>
      </c>
      <c r="D50" s="53"/>
      <c r="E50" s="53"/>
      <c r="F50" s="53">
        <f>F11*F26</f>
        <v>25000</v>
      </c>
      <c r="G50"/>
      <c r="H50" s="106"/>
    </row>
    <row r="51" spans="1:8" x14ac:dyDescent="0.35">
      <c r="A51" s="106"/>
      <c r="B51"/>
      <c r="C51" s="172" t="s">
        <v>264</v>
      </c>
      <c r="D51" s="184"/>
      <c r="E51" s="184"/>
      <c r="F51" s="184">
        <f>IF(F9="Y",((F$29-F$28)*F$30)*F50,"NA")</f>
        <v>569.62025316455674</v>
      </c>
      <c r="G51"/>
      <c r="H51" s="106"/>
    </row>
    <row r="52" spans="1:8" x14ac:dyDescent="0.35">
      <c r="A52" s="106"/>
      <c r="B52"/>
      <c r="C52" s="172" t="s">
        <v>110</v>
      </c>
      <c r="D52" s="70"/>
      <c r="E52" s="70"/>
      <c r="F52" s="70">
        <f>IF(F51="NA",(F50/$F$24),((F51+F50)/$F$24))</f>
        <v>21308.016877637132</v>
      </c>
      <c r="G52" s="16"/>
      <c r="H52" s="106"/>
    </row>
    <row r="53" spans="1:8" x14ac:dyDescent="0.35">
      <c r="A53" s="106"/>
      <c r="B53"/>
      <c r="C53"/>
      <c r="D53" s="55"/>
      <c r="E53" s="55"/>
      <c r="F53" s="55"/>
      <c r="G53" s="16"/>
      <c r="H53" s="106"/>
    </row>
    <row r="54" spans="1:8" ht="15.5" x14ac:dyDescent="0.35">
      <c r="A54" s="106"/>
      <c r="B54"/>
      <c r="C54" s="439" t="s">
        <v>193</v>
      </c>
      <c r="D54" s="439"/>
      <c r="E54" s="439"/>
      <c r="F54" s="439"/>
      <c r="G54" s="16"/>
      <c r="H54" s="106"/>
    </row>
    <row r="55" spans="1:8" ht="15" thickBot="1" x14ac:dyDescent="0.4">
      <c r="A55" s="106"/>
      <c r="B55"/>
      <c r="C55" s="131" t="s">
        <v>194</v>
      </c>
      <c r="D55" s="131"/>
      <c r="E55" s="131"/>
      <c r="F55" s="131"/>
      <c r="G55" s="16"/>
      <c r="H55" s="106"/>
    </row>
    <row r="56" spans="1:8" x14ac:dyDescent="0.35">
      <c r="A56" s="106"/>
      <c r="B56" s="84"/>
      <c r="C56" s="167" t="s">
        <v>54</v>
      </c>
      <c r="D56" s="276"/>
      <c r="E56" s="274"/>
      <c r="F56" s="207" t="s">
        <v>109</v>
      </c>
      <c r="G56" s="16"/>
      <c r="H56" s="106"/>
    </row>
    <row r="57" spans="1:8" x14ac:dyDescent="0.35">
      <c r="A57" s="106"/>
      <c r="B57" s="84"/>
      <c r="C57" s="168" t="s">
        <v>265</v>
      </c>
      <c r="D57" s="277"/>
      <c r="E57" s="208"/>
      <c r="F57" s="208">
        <f>IF(F9="Y",(F51/$F$24)*$F$27,"N/A")</f>
        <v>7594.9367088607569</v>
      </c>
      <c r="G57" s="16"/>
      <c r="H57" s="106"/>
    </row>
    <row r="58" spans="1:8" ht="15" thickBot="1" x14ac:dyDescent="0.4">
      <c r="A58" s="106"/>
      <c r="B58" s="84"/>
      <c r="C58" s="169" t="s">
        <v>266</v>
      </c>
      <c r="D58" s="278"/>
      <c r="E58" s="275"/>
      <c r="F58" s="209">
        <f>IF(F9="Y",((F51+F50)/$F$24)*$F$27,(F50/$F$24)*$F$27)</f>
        <v>340928.27004219411</v>
      </c>
      <c r="G58" s="16"/>
      <c r="H58" s="106"/>
    </row>
    <row r="59" spans="1:8" x14ac:dyDescent="0.35">
      <c r="A59" s="106"/>
      <c r="B59"/>
      <c r="C59"/>
      <c r="D59"/>
      <c r="E59"/>
      <c r="F59"/>
      <c r="G59" s="16"/>
      <c r="H59" s="106"/>
    </row>
    <row r="60" spans="1:8" ht="15" thickBot="1" x14ac:dyDescent="0.4">
      <c r="A60" s="106"/>
      <c r="B60"/>
      <c r="C60" s="131" t="s">
        <v>267</v>
      </c>
      <c r="D60"/>
      <c r="E60"/>
      <c r="F60"/>
      <c r="G60" s="16"/>
      <c r="H60" s="106"/>
    </row>
    <row r="61" spans="1:8" x14ac:dyDescent="0.35">
      <c r="A61" s="106"/>
      <c r="B61" s="84"/>
      <c r="C61" s="177" t="s">
        <v>423</v>
      </c>
      <c r="D61" s="282"/>
      <c r="E61" s="279"/>
      <c r="F61" s="205">
        <f>IF(F9="Y",F$57*F32,"N/A")</f>
        <v>1717785.9466482955</v>
      </c>
      <c r="G61" s="16"/>
      <c r="H61" s="106"/>
    </row>
    <row r="62" spans="1:8" x14ac:dyDescent="0.35">
      <c r="A62" s="106"/>
      <c r="B62" s="84"/>
      <c r="C62" s="83" t="s">
        <v>255</v>
      </c>
      <c r="D62" s="283"/>
      <c r="E62" s="280"/>
      <c r="F62" s="206">
        <f>IF(F9="Y",F$57*F33,"N/A")</f>
        <v>560.7682031914411</v>
      </c>
      <c r="G62" s="16"/>
      <c r="H62" s="106"/>
    </row>
    <row r="63" spans="1:8" x14ac:dyDescent="0.35">
      <c r="A63" s="106"/>
      <c r="B63" s="84"/>
      <c r="C63" s="178" t="s">
        <v>256</v>
      </c>
      <c r="D63" s="283"/>
      <c r="E63" s="280"/>
      <c r="F63" s="206">
        <f>IF(F9="Y",F$57*F34,"N/A")</f>
        <v>13.682023263879659</v>
      </c>
      <c r="G63"/>
      <c r="H63" s="106"/>
    </row>
    <row r="64" spans="1:8" x14ac:dyDescent="0.35">
      <c r="A64" s="106"/>
      <c r="B64" s="84"/>
      <c r="C64" s="178" t="s">
        <v>257</v>
      </c>
      <c r="D64" s="283"/>
      <c r="E64" s="280"/>
      <c r="F64" s="206">
        <f>IF(F9="Y",F$57*F35,"N/A")</f>
        <v>551.31679972168843</v>
      </c>
      <c r="G64"/>
      <c r="H64" s="106"/>
    </row>
    <row r="65" spans="1:8" x14ac:dyDescent="0.35">
      <c r="A65" s="106"/>
      <c r="B65" s="84"/>
      <c r="C65" s="83" t="s">
        <v>258</v>
      </c>
      <c r="D65" s="283"/>
      <c r="E65" s="280"/>
      <c r="F65" s="296">
        <f>IF(F9="Y",F$57*F36,"N/A")</f>
        <v>470.65207784785929</v>
      </c>
      <c r="G65"/>
      <c r="H65" s="106"/>
    </row>
    <row r="66" spans="1:8" x14ac:dyDescent="0.35">
      <c r="A66" s="106"/>
      <c r="B66" s="84"/>
      <c r="C66" s="168" t="s">
        <v>397</v>
      </c>
      <c r="D66" s="283"/>
      <c r="E66" s="280"/>
      <c r="F66" s="280">
        <f>IF(F9="Y",F$57*F37,"N/A")</f>
        <v>11.697126481554445</v>
      </c>
      <c r="G66"/>
      <c r="H66" s="106"/>
    </row>
    <row r="67" spans="1:8" ht="15" thickBot="1" x14ac:dyDescent="0.4">
      <c r="A67" s="106"/>
      <c r="B67" s="84"/>
      <c r="C67" s="116" t="s">
        <v>398</v>
      </c>
      <c r="D67" s="284"/>
      <c r="E67" s="281"/>
      <c r="F67" s="281">
        <f>IF(F9="Y",F$57*F38,"N/A")</f>
        <v>13435.10800303247</v>
      </c>
      <c r="G67"/>
      <c r="H67" s="106"/>
    </row>
    <row r="68" spans="1:8" x14ac:dyDescent="0.35">
      <c r="A68" s="106"/>
      <c r="B68" s="84"/>
      <c r="C68" s="82" t="s">
        <v>295</v>
      </c>
      <c r="D68" s="268"/>
      <c r="E68" s="210"/>
      <c r="F68" s="210">
        <f>IF(F9="Y",(F61*0.00000110231)/$F$26,"N/A")</f>
        <v>7.5741305073995305E-3</v>
      </c>
      <c r="G68"/>
      <c r="H68" s="106"/>
    </row>
    <row r="69" spans="1:8" x14ac:dyDescent="0.35">
      <c r="A69" s="106"/>
      <c r="B69" s="84"/>
      <c r="C69" s="83" t="s">
        <v>296</v>
      </c>
      <c r="D69" s="269"/>
      <c r="E69" s="211"/>
      <c r="F69" s="211">
        <f>IF(F9="Y",(F62*0.00000110231)/$F$26,"N/A")</f>
        <v>2.47256159223983E-6</v>
      </c>
      <c r="G69"/>
      <c r="H69" s="106"/>
    </row>
    <row r="70" spans="1:8" x14ac:dyDescent="0.35">
      <c r="A70" s="106"/>
      <c r="B70" s="84"/>
      <c r="C70" s="83" t="s">
        <v>297</v>
      </c>
      <c r="D70" s="269"/>
      <c r="E70" s="211"/>
      <c r="F70" s="211">
        <f>IF(F9="Y",(F63*0.00000110231)/$F$26,"N/A")</f>
        <v>6.032732425602875E-8</v>
      </c>
      <c r="G70"/>
      <c r="H70" s="106"/>
    </row>
    <row r="71" spans="1:8" x14ac:dyDescent="0.35">
      <c r="A71" s="106"/>
      <c r="B71" s="84"/>
      <c r="C71" s="83" t="s">
        <v>298</v>
      </c>
      <c r="D71" s="269"/>
      <c r="E71" s="211"/>
      <c r="F71" s="211">
        <f>IF(F9="Y",(F64*0.00000110231)/$F$26,"N/A")</f>
        <v>2.4308880860048578E-6</v>
      </c>
      <c r="G71"/>
      <c r="H71" s="106"/>
    </row>
    <row r="72" spans="1:8" x14ac:dyDescent="0.35">
      <c r="A72" s="106"/>
      <c r="B72" s="84"/>
      <c r="C72" s="178" t="s">
        <v>299</v>
      </c>
      <c r="D72" s="269"/>
      <c r="E72" s="211"/>
      <c r="F72" s="211">
        <f>IF($F$9="Y",(F65*0.00000110231)/$F$26,"N/A")</f>
        <v>2.0752179677298952E-6</v>
      </c>
      <c r="G72"/>
      <c r="H72" s="106"/>
    </row>
    <row r="73" spans="1:8" x14ac:dyDescent="0.35">
      <c r="A73" s="106"/>
      <c r="B73" s="84"/>
      <c r="C73" s="178" t="s">
        <v>399</v>
      </c>
      <c r="D73" s="293"/>
      <c r="E73" s="211"/>
      <c r="F73" s="211">
        <f>IF($F$9="Y",(F66*0.00000110231)/$F$26,"N/A")</f>
        <v>5.1575437967529129E-8</v>
      </c>
      <c r="G73"/>
      <c r="H73" s="106"/>
    </row>
    <row r="74" spans="1:8" ht="15" thickBot="1" x14ac:dyDescent="0.4">
      <c r="A74" s="106"/>
      <c r="B74" s="84"/>
      <c r="C74" s="292" t="s">
        <v>400</v>
      </c>
      <c r="D74" s="295"/>
      <c r="E74" s="212"/>
      <c r="F74" s="211">
        <f>IF($F$9="Y",(F67*0.00000110231)/$F$26,"N/A")</f>
        <v>5.9238615611290891E-5</v>
      </c>
      <c r="G74"/>
      <c r="H74" s="106"/>
    </row>
    <row r="75" spans="1:8" x14ac:dyDescent="0.35">
      <c r="A75" s="106"/>
      <c r="B75"/>
      <c r="C75" s="124"/>
      <c r="D75" s="36"/>
      <c r="E75" s="36"/>
      <c r="F75" s="297"/>
      <c r="G75"/>
      <c r="H75" s="106"/>
    </row>
    <row r="76" spans="1:8" ht="15" thickBot="1" x14ac:dyDescent="0.4">
      <c r="A76" s="106"/>
      <c r="B76"/>
      <c r="C76" s="131" t="s">
        <v>225</v>
      </c>
      <c r="D76" s="36"/>
      <c r="E76" s="36"/>
      <c r="F76" s="36"/>
      <c r="G76"/>
      <c r="H76" s="106"/>
    </row>
    <row r="77" spans="1:8" x14ac:dyDescent="0.35">
      <c r="A77" s="106"/>
      <c r="B77" s="84"/>
      <c r="C77" s="167" t="s">
        <v>259</v>
      </c>
      <c r="D77" s="272"/>
      <c r="E77" s="270"/>
      <c r="F77" s="435">
        <f>(IF($F$13=0,0,((60/$F$13)*$F$14))+IF($F$16=0,0,((60/$F$16)*$F$17))+IF($F$19=0,0,((60/$F$19)*$F$20)))*F$10*2*F40</f>
        <v>26799.876280115303</v>
      </c>
      <c r="G77"/>
      <c r="H77" s="106"/>
    </row>
    <row r="78" spans="1:8" x14ac:dyDescent="0.35">
      <c r="A78" s="106"/>
      <c r="B78" s="84"/>
      <c r="C78" s="168" t="s">
        <v>260</v>
      </c>
      <c r="D78" s="273"/>
      <c r="E78" s="271"/>
      <c r="F78" s="436">
        <f>(IF($F$13=0,0,((60/$F$13)*$F$14))+IF($F$16=0,0,((60/$F$16)*$F$17))+IF($F$19=0,0,((60/$F$19)*$F$20)))*F$10*2*F41</f>
        <v>14.812128793609412</v>
      </c>
      <c r="G78"/>
      <c r="H78" s="106"/>
    </row>
    <row r="79" spans="1:8" x14ac:dyDescent="0.35">
      <c r="A79" s="106"/>
      <c r="B79" s="84"/>
      <c r="C79" s="168" t="s">
        <v>261</v>
      </c>
      <c r="D79" s="273"/>
      <c r="E79" s="271"/>
      <c r="F79" s="436">
        <f>(IF($F$13=0,0,((60/$F$13)*$F$14))+IF($F$16=0,0,((60/$F$16)*$F$17))+IF($F$19=0,0,((60/$F$19)*$F$20)))*F$10*2*F42</f>
        <v>0.3052465468360695</v>
      </c>
      <c r="G79"/>
      <c r="H79" s="106"/>
    </row>
    <row r="80" spans="1:8" x14ac:dyDescent="0.35">
      <c r="A80" s="106"/>
      <c r="B80" s="84"/>
      <c r="C80" s="168" t="s">
        <v>262</v>
      </c>
      <c r="D80" s="273"/>
      <c r="E80" s="271"/>
      <c r="F80" s="436">
        <f>(IF($F$13=0,0,((60/$F$13)*$F$14))+IF($F$16=0,0,((60/$F$16)*$F$17))+IF($F$19=0,0,((60/$F$19)*$F$20)))*F$10*2*F43</f>
        <v>14.569498686760932</v>
      </c>
      <c r="G80"/>
      <c r="H80" s="106"/>
    </row>
    <row r="81" spans="1:8" x14ac:dyDescent="0.35">
      <c r="A81" s="106"/>
      <c r="B81" s="84"/>
      <c r="C81" s="168" t="s">
        <v>263</v>
      </c>
      <c r="D81" s="273"/>
      <c r="E81" s="271"/>
      <c r="F81" s="436">
        <f>(IF($F$13=0,0,((60/$F$13)*$F$14))+IF($F$16=0,0,((60/$F$16)*$F$17))+IF($F$19=0,0,((60/$F$19)*$F$20)))*F$10*2*F44</f>
        <v>8.9055999546546953</v>
      </c>
      <c r="G81"/>
      <c r="H81" s="106"/>
    </row>
    <row r="82" spans="1:8" x14ac:dyDescent="0.35">
      <c r="A82" s="106"/>
      <c r="B82" s="84"/>
      <c r="C82" s="168" t="s">
        <v>403</v>
      </c>
      <c r="D82" s="294"/>
      <c r="E82" s="271"/>
      <c r="F82" s="436">
        <f t="shared" ref="F82:F83" si="2">(IF($F$13=0,0,((60/$F$13)*$F$14))+IF($F$16=0,0,((60/$F$16)*$F$17))+IF($F$19=0,0,((60/$F$19)*$F$20)))*F$10*2*F45</f>
        <v>0.18079873146372896</v>
      </c>
      <c r="G82"/>
      <c r="H82" s="106"/>
    </row>
    <row r="83" spans="1:8" ht="15" thickBot="1" x14ac:dyDescent="0.4">
      <c r="A83" s="106"/>
      <c r="B83" s="84"/>
      <c r="C83" s="116" t="s">
        <v>404</v>
      </c>
      <c r="D83" s="294"/>
      <c r="E83" s="285"/>
      <c r="F83" s="436">
        <f t="shared" si="2"/>
        <v>195.08268083519576</v>
      </c>
      <c r="G83"/>
      <c r="H83" s="106"/>
    </row>
    <row r="84" spans="1:8" ht="15" thickBot="1" x14ac:dyDescent="0.4">
      <c r="A84" s="106"/>
      <c r="B84"/>
      <c r="C84" s="318" t="s">
        <v>202</v>
      </c>
      <c r="D84" s="291"/>
      <c r="E84"/>
      <c r="F84" s="331"/>
      <c r="G84"/>
      <c r="H84" s="106"/>
    </row>
    <row r="85" spans="1:8" x14ac:dyDescent="0.35">
      <c r="A85" s="106"/>
      <c r="B85"/>
      <c r="C85" s="344" t="s">
        <v>479</v>
      </c>
      <c r="D85" s="385"/>
      <c r="E85" s="385"/>
      <c r="F85" s="386">
        <f>((F$58*F32)-F77)/1000</f>
        <v>77082.702617710063</v>
      </c>
      <c r="G85"/>
      <c r="H85" s="106"/>
    </row>
    <row r="86" spans="1:8" x14ac:dyDescent="0.35">
      <c r="A86" s="106"/>
      <c r="B86"/>
      <c r="C86" s="345" t="s">
        <v>488</v>
      </c>
      <c r="D86" s="387"/>
      <c r="E86" s="387"/>
      <c r="F86" s="388">
        <f t="shared" ref="F86:F91" si="3">((F$58*F33)-F78)/1000</f>
        <v>25.157449436688868</v>
      </c>
      <c r="G86" s="155" t="s">
        <v>511</v>
      </c>
      <c r="H86" s="106"/>
    </row>
    <row r="87" spans="1:8" x14ac:dyDescent="0.35">
      <c r="A87" s="106"/>
      <c r="B87"/>
      <c r="C87" s="345" t="s">
        <v>489</v>
      </c>
      <c r="D87" s="387"/>
      <c r="E87" s="387"/>
      <c r="F87" s="388">
        <f t="shared" si="3"/>
        <v>0.61386557552065113</v>
      </c>
      <c r="G87" s="155" t="s">
        <v>511</v>
      </c>
      <c r="H87" s="106"/>
    </row>
    <row r="88" spans="1:8" x14ac:dyDescent="0.35">
      <c r="A88" s="106"/>
      <c r="B88"/>
      <c r="C88" s="345" t="s">
        <v>464</v>
      </c>
      <c r="D88" s="387"/>
      <c r="E88" s="387"/>
      <c r="F88" s="388">
        <f t="shared" si="3"/>
        <v>24.733429066597928</v>
      </c>
      <c r="G88"/>
      <c r="H88" s="106"/>
    </row>
    <row r="89" spans="1:8" x14ac:dyDescent="0.35">
      <c r="A89" s="106"/>
      <c r="B89"/>
      <c r="C89" s="345" t="s">
        <v>465</v>
      </c>
      <c r="D89" s="387"/>
      <c r="E89" s="387"/>
      <c r="F89" s="388">
        <f t="shared" si="3"/>
        <v>21.118143227882594</v>
      </c>
      <c r="G89"/>
      <c r="H89" s="106"/>
    </row>
    <row r="90" spans="1:8" x14ac:dyDescent="0.35">
      <c r="A90" s="106"/>
      <c r="B90"/>
      <c r="C90" s="342" t="s">
        <v>466</v>
      </c>
      <c r="D90" s="387"/>
      <c r="E90" s="387"/>
      <c r="F90" s="388">
        <f t="shared" si="3"/>
        <v>0.52489021221831378</v>
      </c>
      <c r="G90"/>
      <c r="H90" s="106"/>
    </row>
    <row r="91" spans="1:8" ht="15" thickBot="1" x14ac:dyDescent="0.4">
      <c r="A91" s="106"/>
      <c r="B91"/>
      <c r="C91" s="343" t="s">
        <v>467</v>
      </c>
      <c r="D91" s="389"/>
      <c r="E91" s="389"/>
      <c r="F91" s="390">
        <f t="shared" si="3"/>
        <v>602.89198767751157</v>
      </c>
      <c r="G91"/>
      <c r="H91" s="106"/>
    </row>
    <row r="92" spans="1:8" x14ac:dyDescent="0.35">
      <c r="A92" s="106"/>
      <c r="B92"/>
      <c r="C92" s="344" t="s">
        <v>474</v>
      </c>
      <c r="D92" s="333"/>
      <c r="E92" s="333"/>
      <c r="F92" s="334">
        <f>(F85)/$F$26</f>
        <v>308.33081047084028</v>
      </c>
      <c r="G92"/>
      <c r="H92" s="106"/>
    </row>
    <row r="93" spans="1:8" x14ac:dyDescent="0.35">
      <c r="A93" s="106"/>
      <c r="B93"/>
      <c r="C93" s="345" t="s">
        <v>475</v>
      </c>
      <c r="D93" s="335"/>
      <c r="E93" s="335"/>
      <c r="F93" s="336">
        <f t="shared" ref="F93:F98" si="4">(F86)/$F$26</f>
        <v>0.10062979774675547</v>
      </c>
      <c r="G93"/>
      <c r="H93" s="106"/>
    </row>
    <row r="94" spans="1:8" x14ac:dyDescent="0.35">
      <c r="A94" s="106"/>
      <c r="B94"/>
      <c r="C94" s="345" t="s">
        <v>476</v>
      </c>
      <c r="D94" s="335"/>
      <c r="E94" s="335"/>
      <c r="F94" s="336">
        <f t="shared" si="4"/>
        <v>2.4554623020826044E-3</v>
      </c>
      <c r="G94"/>
      <c r="H94" s="106"/>
    </row>
    <row r="95" spans="1:8" x14ac:dyDescent="0.35">
      <c r="A95" s="106"/>
      <c r="B95"/>
      <c r="C95" s="345" t="s">
        <v>498</v>
      </c>
      <c r="D95" s="335"/>
      <c r="E95" s="335"/>
      <c r="F95" s="336">
        <f t="shared" si="4"/>
        <v>9.8933716266391719E-2</v>
      </c>
      <c r="G95" s="155" t="s">
        <v>511</v>
      </c>
      <c r="H95" s="106"/>
    </row>
    <row r="96" spans="1:8" x14ac:dyDescent="0.35">
      <c r="A96" s="106"/>
      <c r="B96"/>
      <c r="C96" s="345" t="s">
        <v>499</v>
      </c>
      <c r="D96" s="335"/>
      <c r="E96" s="335"/>
      <c r="F96" s="336">
        <f t="shared" si="4"/>
        <v>8.4472572911530375E-2</v>
      </c>
      <c r="G96" s="155" t="s">
        <v>511</v>
      </c>
      <c r="H96" s="106"/>
    </row>
    <row r="97" spans="1:10" x14ac:dyDescent="0.35">
      <c r="A97" s="106"/>
      <c r="B97"/>
      <c r="C97" s="345" t="s">
        <v>478</v>
      </c>
      <c r="D97" s="335"/>
      <c r="E97" s="335"/>
      <c r="F97" s="336">
        <f t="shared" si="4"/>
        <v>2.099560848873255E-3</v>
      </c>
      <c r="G97"/>
      <c r="H97" s="106"/>
    </row>
    <row r="98" spans="1:10" ht="15" thickBot="1" x14ac:dyDescent="0.4">
      <c r="A98" s="106"/>
      <c r="B98"/>
      <c r="C98" s="379" t="s">
        <v>500</v>
      </c>
      <c r="D98" s="391"/>
      <c r="E98" s="391"/>
      <c r="F98" s="392">
        <f t="shared" si="4"/>
        <v>2.4115679507100465</v>
      </c>
      <c r="G98" s="155" t="s">
        <v>511</v>
      </c>
      <c r="H98" s="106"/>
    </row>
    <row r="99" spans="1:10" ht="15" thickBot="1" x14ac:dyDescent="0.4">
      <c r="A99" s="106"/>
      <c r="B99"/>
      <c r="C99"/>
      <c r="D99" s="90"/>
      <c r="E99" s="90"/>
      <c r="F99" s="90"/>
      <c r="G99" s="25"/>
      <c r="H99" s="106"/>
      <c r="J99" s="216"/>
    </row>
    <row r="100" spans="1:10" x14ac:dyDescent="0.35">
      <c r="A100" s="106"/>
      <c r="B100"/>
      <c r="C100" s="338" t="s">
        <v>472</v>
      </c>
      <c r="D100" s="332"/>
      <c r="E100" s="332"/>
      <c r="F100" s="324">
        <v>1441634</v>
      </c>
      <c r="G100"/>
      <c r="H100" s="106"/>
    </row>
    <row r="101" spans="1:10" x14ac:dyDescent="0.35">
      <c r="A101" s="106"/>
      <c r="B101"/>
      <c r="C101" s="342" t="s">
        <v>473</v>
      </c>
      <c r="D101" s="328"/>
      <c r="E101" s="328"/>
      <c r="F101" s="369">
        <v>1</v>
      </c>
      <c r="G101"/>
      <c r="H101" s="106"/>
    </row>
    <row r="102" spans="1:10" x14ac:dyDescent="0.35">
      <c r="A102" s="106"/>
      <c r="B102"/>
      <c r="C102" s="342" t="s">
        <v>493</v>
      </c>
      <c r="D102" s="328"/>
      <c r="E102" s="328"/>
      <c r="F102" s="370">
        <f>(F$100/F$101)/F86</f>
        <v>57304.457815885115</v>
      </c>
      <c r="G102" s="155" t="s">
        <v>511</v>
      </c>
      <c r="H102" s="106"/>
    </row>
    <row r="103" spans="1:10" x14ac:dyDescent="0.35">
      <c r="A103" s="106"/>
      <c r="B103"/>
      <c r="C103" s="342" t="s">
        <v>494</v>
      </c>
      <c r="D103" s="328"/>
      <c r="E103" s="328"/>
      <c r="F103" s="370">
        <f>(F$100/F$101)/F87</f>
        <v>2348452.2629848979</v>
      </c>
      <c r="G103" s="155" t="s">
        <v>511</v>
      </c>
      <c r="H103" s="106"/>
    </row>
    <row r="104" spans="1:10" x14ac:dyDescent="0.35">
      <c r="A104" s="106"/>
      <c r="B104"/>
      <c r="C104" s="342" t="s">
        <v>495</v>
      </c>
      <c r="D104" s="328"/>
      <c r="E104" s="328"/>
      <c r="F104" s="370">
        <f>(F$100/F$101/$F$26)/F95</f>
        <v>58286.863342653196</v>
      </c>
      <c r="G104" s="155" t="s">
        <v>511</v>
      </c>
      <c r="H104" s="106"/>
    </row>
    <row r="105" spans="1:10" x14ac:dyDescent="0.35">
      <c r="A105" s="106"/>
      <c r="B105"/>
      <c r="C105" s="342" t="s">
        <v>496</v>
      </c>
      <c r="D105" s="328"/>
      <c r="E105" s="328"/>
      <c r="F105" s="370">
        <f>(F$100/F$101/$F$26)/F96</f>
        <v>68265.187163641807</v>
      </c>
      <c r="G105" s="155" t="s">
        <v>511</v>
      </c>
      <c r="H105" s="106"/>
    </row>
    <row r="106" spans="1:10" ht="15" thickBot="1" x14ac:dyDescent="0.4">
      <c r="A106" s="106"/>
      <c r="B106"/>
      <c r="C106" s="343" t="s">
        <v>497</v>
      </c>
      <c r="D106" s="330"/>
      <c r="E106" s="330"/>
      <c r="F106" s="371">
        <f>(F$100/F$101/$F$26)/F98</f>
        <v>2391.1978090031171</v>
      </c>
      <c r="G106" s="155" t="s">
        <v>511</v>
      </c>
      <c r="H106" s="106"/>
    </row>
    <row r="107" spans="1:10" x14ac:dyDescent="0.35">
      <c r="A107" s="106"/>
      <c r="B107"/>
      <c r="C107"/>
      <c r="D107"/>
      <c r="E107"/>
      <c r="F107"/>
      <c r="G107"/>
      <c r="H107" s="106"/>
    </row>
    <row r="108" spans="1:10" x14ac:dyDescent="0.35">
      <c r="A108" s="106"/>
      <c r="B108" s="106"/>
      <c r="C108" s="106"/>
      <c r="D108" s="106"/>
      <c r="E108" s="106"/>
      <c r="F108" s="106"/>
      <c r="G108" s="106"/>
      <c r="H108" s="106"/>
    </row>
  </sheetData>
  <mergeCells count="6">
    <mergeCell ref="C48:F48"/>
    <mergeCell ref="C54:F54"/>
    <mergeCell ref="C3:F3"/>
    <mergeCell ref="C2:F2"/>
    <mergeCell ref="C5:F5"/>
    <mergeCell ref="C22:F22"/>
  </mergeCells>
  <dataValidations count="2">
    <dataValidation type="list" allowBlank="1" showInputMessage="1" showErrorMessage="1" sqref="D13:E14 D19:E20 D16:E17 D10:E10" xr:uid="{00000000-0002-0000-0700-000000000000}">
      <formula1>$A$352:$A$357</formula1>
    </dataValidation>
    <dataValidation type="list" allowBlank="1" showInputMessage="1" showErrorMessage="1" sqref="D15:E15 D12:E12 D18:E18" xr:uid="{00000000-0002-0000-0700-000001000000}">
      <formula1>$A$368:$A$369</formula1>
    </dataValidation>
  </dataValidations>
  <printOptions headings="1" gridLines="1"/>
  <pageMargins left="0.7" right="0.7" top="0.75" bottom="0.75" header="0.3" footer="0.3"/>
  <pageSetup paperSize="17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700-000002000000}">
          <x14:formula1>
            <xm:f>OtherVariables!$A$142:$A$147</xm:f>
          </x14:formula1>
          <xm:sqref>D8:E8</xm:sqref>
        </x14:dataValidation>
        <x14:dataValidation type="list" allowBlank="1" showInputMessage="1" showErrorMessage="1" xr:uid="{00000000-0002-0000-0700-000003000000}">
          <x14:formula1>
            <xm:f>OtherVariables!$A$135:$A$136</xm:f>
          </x14:formula1>
          <xm:sqref>D9:F9</xm:sqref>
        </x14:dataValidation>
        <x14:dataValidation type="list" allowBlank="1" showInputMessage="1" showErrorMessage="1" xr:uid="{00000000-0002-0000-0700-000004000000}">
          <x14:formula1>
            <xm:f>OtherVariables!$P$24:$P$39</xm:f>
          </x14:formula1>
          <xm:sqref>F7</xm:sqref>
        </x14:dataValidation>
        <x14:dataValidation type="list" allowBlank="1" showInputMessage="1" showErrorMessage="1" xr:uid="{00000000-0002-0000-0700-000005000000}">
          <x14:formula1>
            <xm:f>OtherVariables!$A$149:$A$150</xm:f>
          </x14:formula1>
          <xm:sqref>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AB115"/>
  <sheetViews>
    <sheetView showGridLines="0" zoomScale="85" zoomScaleNormal="85" workbookViewId="0">
      <selection activeCell="F8" sqref="F8"/>
    </sheetView>
  </sheetViews>
  <sheetFormatPr defaultColWidth="9.08984375" defaultRowHeight="14.5" x14ac:dyDescent="0.35"/>
  <cols>
    <col min="1" max="1" width="2.453125" style="78" customWidth="1"/>
    <col min="2" max="2" width="2" style="78" customWidth="1"/>
    <col min="3" max="3" width="71.54296875" style="166" customWidth="1"/>
    <col min="4" max="5" width="16.453125" style="78" hidden="1" customWidth="1"/>
    <col min="6" max="6" width="29.453125" style="78" bestFit="1" customWidth="1"/>
    <col min="7" max="7" width="7.08984375" style="78" customWidth="1"/>
    <col min="8" max="8" width="2.08984375" style="78" customWidth="1"/>
    <col min="9" max="9" width="35.54296875" style="170" bestFit="1" customWidth="1"/>
    <col min="10" max="11" width="10.08984375" style="170" customWidth="1"/>
    <col min="12" max="12" width="10" style="170" customWidth="1"/>
    <col min="13" max="15" width="9.08984375" style="170"/>
    <col min="16" max="16" width="9.54296875" style="170" bestFit="1" customWidth="1"/>
    <col min="17" max="25" width="9.08984375" style="170"/>
    <col min="26" max="27" width="9.08984375" style="78"/>
    <col min="28" max="28" width="20.453125" style="78" bestFit="1" customWidth="1"/>
    <col min="29" max="16384" width="9.08984375" style="78"/>
  </cols>
  <sheetData>
    <row r="1" spans="1:28" x14ac:dyDescent="0.35">
      <c r="A1" s="106"/>
      <c r="B1" s="106"/>
      <c r="C1" s="106"/>
      <c r="D1" s="106"/>
      <c r="E1" s="106"/>
      <c r="F1" s="106"/>
      <c r="G1" s="106"/>
      <c r="H1" s="106"/>
    </row>
    <row r="2" spans="1:28" ht="10.5" customHeight="1" x14ac:dyDescent="0.35">
      <c r="A2" s="106"/>
      <c r="B2" s="118"/>
      <c r="C2" s="440"/>
      <c r="D2" s="440"/>
      <c r="E2" s="440"/>
      <c r="F2" s="440"/>
      <c r="G2" s="118"/>
      <c r="H2" s="106"/>
    </row>
    <row r="3" spans="1:28" ht="26" x14ac:dyDescent="0.35">
      <c r="A3" s="106"/>
      <c r="B3"/>
      <c r="C3" s="441" t="s">
        <v>45</v>
      </c>
      <c r="D3" s="441"/>
      <c r="E3" s="441"/>
      <c r="F3" s="441"/>
      <c r="G3" s="102"/>
      <c r="H3" s="106"/>
    </row>
    <row r="4" spans="1:28" x14ac:dyDescent="0.35">
      <c r="A4" s="106"/>
      <c r="B4"/>
      <c r="C4" s="1"/>
      <c r="D4"/>
      <c r="E4"/>
      <c r="F4"/>
      <c r="G4"/>
      <c r="H4" s="106"/>
      <c r="AB4" s="156"/>
    </row>
    <row r="5" spans="1:28" ht="15.5" x14ac:dyDescent="0.35">
      <c r="A5" s="106"/>
      <c r="B5"/>
      <c r="C5" s="442" t="s">
        <v>196</v>
      </c>
      <c r="D5" s="442"/>
      <c r="E5" s="442"/>
      <c r="F5" s="442"/>
      <c r="G5" s="27"/>
      <c r="H5" s="106"/>
      <c r="AB5" s="156"/>
    </row>
    <row r="6" spans="1:28" ht="15.5" x14ac:dyDescent="0.35">
      <c r="A6" s="106"/>
      <c r="B6"/>
      <c r="C6" s="128" t="s">
        <v>199</v>
      </c>
      <c r="D6" s="119"/>
      <c r="E6" s="118"/>
      <c r="F6" s="128" t="s">
        <v>200</v>
      </c>
      <c r="G6" s="50"/>
      <c r="H6" s="106"/>
      <c r="AB6" s="156"/>
    </row>
    <row r="7" spans="1:28" x14ac:dyDescent="0.35">
      <c r="A7" s="106"/>
      <c r="B7"/>
      <c r="C7" s="95" t="s">
        <v>55</v>
      </c>
      <c r="D7" s="45">
        <v>2025</v>
      </c>
      <c r="E7" s="45">
        <v>2035</v>
      </c>
      <c r="F7" s="45">
        <v>2030</v>
      </c>
      <c r="G7" s="7"/>
      <c r="H7" s="106"/>
      <c r="AB7" s="156"/>
    </row>
    <row r="8" spans="1:28" x14ac:dyDescent="0.35">
      <c r="A8" s="106"/>
      <c r="B8"/>
      <c r="C8" s="139" t="s">
        <v>363</v>
      </c>
      <c r="D8" s="28"/>
      <c r="E8" s="28"/>
      <c r="F8" s="28">
        <v>8391</v>
      </c>
      <c r="G8" s="161"/>
      <c r="H8" s="106"/>
      <c r="AB8" s="156"/>
    </row>
    <row r="9" spans="1:28" x14ac:dyDescent="0.35">
      <c r="A9" s="106"/>
      <c r="B9"/>
      <c r="C9" s="139" t="s">
        <v>56</v>
      </c>
      <c r="D9" s="28"/>
      <c r="E9" s="28"/>
      <c r="F9" s="28">
        <v>1500</v>
      </c>
      <c r="G9" s="161"/>
      <c r="H9" s="106"/>
      <c r="AB9" s="156"/>
    </row>
    <row r="10" spans="1:28" x14ac:dyDescent="0.35">
      <c r="A10" s="106"/>
      <c r="B10"/>
      <c r="C10" s="139" t="s">
        <v>23</v>
      </c>
      <c r="D10" s="28"/>
      <c r="E10" s="28"/>
      <c r="F10" s="29">
        <v>2</v>
      </c>
      <c r="G10" s="163"/>
      <c r="H10" s="106"/>
      <c r="AB10" s="156"/>
    </row>
    <row r="11" spans="1:28" x14ac:dyDescent="0.35">
      <c r="A11" s="106"/>
      <c r="B11"/>
      <c r="C11" s="139" t="s">
        <v>61</v>
      </c>
      <c r="D11" s="28"/>
      <c r="E11" s="28"/>
      <c r="F11" s="28">
        <v>35</v>
      </c>
      <c r="G11" s="161"/>
      <c r="H11" s="106"/>
      <c r="AB11" s="156"/>
    </row>
    <row r="12" spans="1:28" x14ac:dyDescent="0.35">
      <c r="A12" s="106"/>
      <c r="B12"/>
      <c r="C12" s="139" t="s">
        <v>112</v>
      </c>
      <c r="D12" s="28"/>
      <c r="E12" s="28"/>
      <c r="F12" s="30">
        <v>7</v>
      </c>
      <c r="G12" s="108"/>
      <c r="H12" s="106"/>
    </row>
    <row r="13" spans="1:28" x14ac:dyDescent="0.35">
      <c r="A13" s="106"/>
      <c r="B13"/>
      <c r="C13" s="139" t="s">
        <v>25</v>
      </c>
      <c r="D13" s="28"/>
      <c r="E13" s="28"/>
      <c r="F13" s="32" t="s">
        <v>21</v>
      </c>
      <c r="G13" s="143"/>
      <c r="H13" s="106"/>
      <c r="K13" s="216"/>
    </row>
    <row r="14" spans="1:28" x14ac:dyDescent="0.35">
      <c r="A14" s="106"/>
      <c r="B14"/>
      <c r="C14" s="139" t="s">
        <v>26</v>
      </c>
      <c r="D14" s="28"/>
      <c r="E14" s="28"/>
      <c r="F14" s="30" t="s">
        <v>30</v>
      </c>
      <c r="G14" s="108"/>
      <c r="H14" s="106"/>
      <c r="K14" s="216"/>
    </row>
    <row r="15" spans="1:28" x14ac:dyDescent="0.35">
      <c r="A15" s="106"/>
      <c r="B15"/>
      <c r="C15" s="139" t="s">
        <v>451</v>
      </c>
      <c r="D15" s="310"/>
      <c r="E15" s="310"/>
      <c r="F15" s="30" t="s">
        <v>360</v>
      </c>
      <c r="G15" s="108"/>
      <c r="H15" s="106"/>
      <c r="AB15" s="156"/>
    </row>
    <row r="16" spans="1:28" x14ac:dyDescent="0.35">
      <c r="A16" s="106"/>
      <c r="B16"/>
      <c r="C16" s="50" t="s">
        <v>117</v>
      </c>
      <c r="D16" s="7"/>
      <c r="E16" s="7"/>
      <c r="F16" s="7"/>
      <c r="G16" s="7"/>
      <c r="H16" s="106"/>
      <c r="AB16" s="156"/>
    </row>
    <row r="17" spans="1:28" x14ac:dyDescent="0.35">
      <c r="A17" s="106"/>
      <c r="B17"/>
      <c r="C17" s="86" t="s">
        <v>119</v>
      </c>
      <c r="D17" s="32"/>
      <c r="E17" s="32"/>
      <c r="F17" s="32" t="s">
        <v>21</v>
      </c>
      <c r="G17" s="143"/>
      <c r="H17" s="106"/>
      <c r="AB17" s="156"/>
    </row>
    <row r="18" spans="1:28" x14ac:dyDescent="0.35">
      <c r="A18" s="106"/>
      <c r="B18"/>
      <c r="C18" s="86" t="s">
        <v>300</v>
      </c>
      <c r="D18" s="31"/>
      <c r="E18" s="31"/>
      <c r="F18" s="31">
        <v>1.8</v>
      </c>
      <c r="G18" s="153"/>
      <c r="H18" s="106"/>
      <c r="AB18" s="156"/>
    </row>
    <row r="19" spans="1:28" x14ac:dyDescent="0.35">
      <c r="A19" s="106"/>
      <c r="B19"/>
      <c r="C19" s="50" t="s">
        <v>118</v>
      </c>
      <c r="D19" s="7"/>
      <c r="E19" s="7"/>
      <c r="F19" s="7"/>
      <c r="G19" s="7"/>
      <c r="H19" s="106"/>
      <c r="I19" s="243"/>
      <c r="AB19" s="156"/>
    </row>
    <row r="20" spans="1:28" x14ac:dyDescent="0.35">
      <c r="A20" s="106"/>
      <c r="B20"/>
      <c r="C20" s="86" t="s">
        <v>119</v>
      </c>
      <c r="D20" s="32"/>
      <c r="E20" s="32"/>
      <c r="F20" s="32" t="s">
        <v>21</v>
      </c>
      <c r="G20" s="143"/>
      <c r="H20" s="106"/>
      <c r="AB20" s="156"/>
    </row>
    <row r="21" spans="1:28" x14ac:dyDescent="0.35">
      <c r="A21" s="106"/>
      <c r="B21"/>
      <c r="C21" s="86" t="s">
        <v>301</v>
      </c>
      <c r="D21" s="31"/>
      <c r="E21" s="31"/>
      <c r="F21" s="31">
        <v>0.98</v>
      </c>
      <c r="G21" s="153"/>
      <c r="H21" s="106"/>
      <c r="AB21" s="156"/>
    </row>
    <row r="22" spans="1:28" x14ac:dyDescent="0.35">
      <c r="A22" s="106"/>
      <c r="B22"/>
      <c r="C22" s="50" t="s">
        <v>0</v>
      </c>
      <c r="D22" s="7"/>
      <c r="E22" s="7"/>
      <c r="F22" s="7"/>
      <c r="G22" s="7"/>
      <c r="H22" s="106"/>
      <c r="AB22" s="156"/>
    </row>
    <row r="23" spans="1:28" x14ac:dyDescent="0.35">
      <c r="A23" s="106"/>
      <c r="B23"/>
      <c r="C23" s="138" t="s">
        <v>22</v>
      </c>
      <c r="D23" s="32"/>
      <c r="E23" s="32"/>
      <c r="F23" s="32" t="s">
        <v>21</v>
      </c>
      <c r="G23" s="143"/>
      <c r="H23" s="106"/>
      <c r="AB23" s="156"/>
    </row>
    <row r="24" spans="1:28" x14ac:dyDescent="0.35">
      <c r="A24" s="106"/>
      <c r="B24"/>
      <c r="C24" s="86" t="s">
        <v>302</v>
      </c>
      <c r="D24" s="31"/>
      <c r="E24" s="31"/>
      <c r="F24" s="31">
        <v>16</v>
      </c>
      <c r="G24" s="153"/>
      <c r="H24" s="106"/>
      <c r="K24" s="216"/>
    </row>
    <row r="25" spans="1:28" ht="29" x14ac:dyDescent="0.35">
      <c r="A25" s="106"/>
      <c r="B25"/>
      <c r="C25" s="142" t="s">
        <v>44</v>
      </c>
      <c r="D25" s="30"/>
      <c r="E25" s="203"/>
      <c r="F25" s="203">
        <v>600</v>
      </c>
      <c r="G25" s="108"/>
      <c r="H25" s="106"/>
      <c r="K25" s="216"/>
    </row>
    <row r="26" spans="1:28" x14ac:dyDescent="0.35">
      <c r="A26" s="106"/>
      <c r="B26"/>
      <c r="C26" s="138" t="s">
        <v>31</v>
      </c>
      <c r="D26" s="32"/>
      <c r="E26" s="32"/>
      <c r="F26" s="32" t="s">
        <v>21</v>
      </c>
      <c r="G26" s="143"/>
      <c r="H26" s="106"/>
      <c r="L26" s="217"/>
      <c r="M26" s="218"/>
    </row>
    <row r="27" spans="1:28" x14ac:dyDescent="0.35">
      <c r="A27" s="106"/>
      <c r="B27"/>
      <c r="C27" s="154"/>
      <c r="D27" s="143"/>
      <c r="E27" s="143"/>
      <c r="F27" s="143"/>
      <c r="G27" s="143"/>
      <c r="H27" s="106"/>
      <c r="L27" s="217"/>
      <c r="M27" s="218"/>
    </row>
    <row r="28" spans="1:28" ht="15.5" x14ac:dyDescent="0.35">
      <c r="A28" s="106"/>
      <c r="B28"/>
      <c r="C28" s="442" t="s">
        <v>209</v>
      </c>
      <c r="D28" s="442"/>
      <c r="E28" s="442"/>
      <c r="F28" s="442"/>
      <c r="G28"/>
      <c r="H28" s="106"/>
    </row>
    <row r="29" spans="1:28" x14ac:dyDescent="0.35">
      <c r="A29" s="106"/>
      <c r="B29"/>
      <c r="C29" s="128" t="s">
        <v>221</v>
      </c>
      <c r="D29"/>
      <c r="E29"/>
      <c r="F29" s="128" t="s">
        <v>204</v>
      </c>
      <c r="G29"/>
      <c r="H29" s="106"/>
    </row>
    <row r="30" spans="1:28" x14ac:dyDescent="0.35">
      <c r="A30" s="106"/>
      <c r="B30"/>
      <c r="C30" s="81" t="s">
        <v>12</v>
      </c>
      <c r="D30" s="261"/>
      <c r="E30" s="261"/>
      <c r="F30" s="261">
        <f>IF(F12&lt;3,0,IF(F12&gt;3,IF(F12&gt;6,OtherVariables!$C$69,OtherVariables!$C$68),OtherVariables!$C$67))</f>
        <v>1.5E-3</v>
      </c>
      <c r="G30" s="148"/>
      <c r="H30" s="106"/>
    </row>
    <row r="31" spans="1:28" x14ac:dyDescent="0.35">
      <c r="A31" s="106"/>
      <c r="B31"/>
      <c r="C31" s="81" t="s">
        <v>10</v>
      </c>
      <c r="D31" s="5"/>
      <c r="E31" s="5"/>
      <c r="F31" s="5">
        <f>IF(F13="N",INDEX(OtherVariables!$B$59:$E$61,IF(F8&lt;OtherVariables!$B$59,1,IF(F8&lt;OtherVariables!$B$60,2,3)),IF(F10&lt;1,2,IF(F10&lt;2,3,4))),INDEX(OtherVariables!$H$59:$K$61,IF(F8&lt;OtherVariables!$B$59,1,IF(F8&lt;OtherVariables!$B$60,2,3)),IF(F10&lt;1,2,IF(F10&lt;2,3,4))))</f>
        <v>2.07E-2</v>
      </c>
      <c r="G31" s="148"/>
      <c r="H31" s="106"/>
    </row>
    <row r="32" spans="1:28" x14ac:dyDescent="0.35">
      <c r="A32" s="106"/>
      <c r="B32"/>
      <c r="C32" s="81" t="s">
        <v>51</v>
      </c>
      <c r="D32" s="12"/>
      <c r="E32" s="12"/>
      <c r="F32" s="12">
        <v>200</v>
      </c>
      <c r="G32" s="152"/>
      <c r="H32" s="106"/>
    </row>
    <row r="33" spans="1:8" x14ac:dyDescent="0.35">
      <c r="A33" s="106"/>
      <c r="B33"/>
      <c r="C33" s="81" t="s">
        <v>42</v>
      </c>
      <c r="D33" s="34"/>
      <c r="E33" s="34"/>
      <c r="F33" s="34">
        <f>IF(F26="Y",VLOOKUP(F14,OtherVariables!$B$121:$D$125,3,FALSE),VLOOKUP(F14,OtherVariables!$B$121:$D$125,2,FALSE))</f>
        <v>2.8043098098945115E-2</v>
      </c>
      <c r="G33" s="146"/>
      <c r="H33" s="106"/>
    </row>
    <row r="34" spans="1:8" x14ac:dyDescent="0.35">
      <c r="A34" s="106"/>
      <c r="B34"/>
      <c r="C34" s="81" t="s">
        <v>57</v>
      </c>
      <c r="D34" s="34"/>
      <c r="E34" s="34"/>
      <c r="F34" s="34">
        <v>0.1</v>
      </c>
      <c r="G34" s="146"/>
      <c r="H34" s="106"/>
    </row>
    <row r="35" spans="1:8" x14ac:dyDescent="0.35">
      <c r="A35" s="106"/>
      <c r="B35"/>
      <c r="C35" s="81" t="s">
        <v>120</v>
      </c>
      <c r="D35" s="62"/>
      <c r="E35" s="62"/>
      <c r="F35" s="62">
        <f>VLOOKUP(F15,OtherVariables!$J$87:$L$97,2,FALSE)</f>
        <v>1.1100000000000001</v>
      </c>
      <c r="G35" s="157"/>
      <c r="H35" s="106"/>
    </row>
    <row r="36" spans="1:8" x14ac:dyDescent="0.35">
      <c r="A36" s="106"/>
      <c r="B36"/>
      <c r="C36" s="81" t="s">
        <v>121</v>
      </c>
      <c r="D36" s="62"/>
      <c r="E36" s="62"/>
      <c r="F36" s="62">
        <f>VLOOKUP(F15,OtherVariables!$J$87:$L$97,3,FALSE)</f>
        <v>5</v>
      </c>
      <c r="G36" s="157"/>
      <c r="H36" s="106"/>
    </row>
    <row r="37" spans="1:8" x14ac:dyDescent="0.35">
      <c r="A37" s="106"/>
      <c r="B37"/>
      <c r="C37"/>
      <c r="D37" s="157"/>
      <c r="E37" s="157"/>
      <c r="F37" s="157"/>
      <c r="G37" s="157"/>
      <c r="H37" s="106"/>
    </row>
    <row r="38" spans="1:8" ht="15.5" x14ac:dyDescent="0.35">
      <c r="A38" s="106"/>
      <c r="B38"/>
      <c r="C38" s="442" t="s">
        <v>192</v>
      </c>
      <c r="D38" s="442"/>
      <c r="E38" s="442"/>
      <c r="F38" s="442"/>
      <c r="G38" s="7"/>
      <c r="H38" s="106"/>
    </row>
    <row r="39" spans="1:8" ht="15.5" x14ac:dyDescent="0.35">
      <c r="A39" s="106"/>
      <c r="B39"/>
      <c r="C39" s="120" t="s">
        <v>199</v>
      </c>
      <c r="D39" s="119"/>
      <c r="E39" s="118"/>
      <c r="F39" s="120" t="s">
        <v>198</v>
      </c>
      <c r="G39"/>
      <c r="H39" s="106"/>
    </row>
    <row r="40" spans="1:8" x14ac:dyDescent="0.35">
      <c r="A40" s="106"/>
      <c r="B40"/>
      <c r="C40" s="81" t="s">
        <v>307</v>
      </c>
      <c r="D40" s="9"/>
      <c r="E40" s="9"/>
      <c r="F40" s="9">
        <f>IF(F17="Y",(F8*(F30+F31))*F32, 0)</f>
        <v>37256.04</v>
      </c>
      <c r="G40" s="18"/>
      <c r="H40" s="106"/>
    </row>
    <row r="41" spans="1:8" x14ac:dyDescent="0.35">
      <c r="A41" s="106"/>
      <c r="B41"/>
      <c r="C41" s="81" t="s">
        <v>308</v>
      </c>
      <c r="D41" s="9"/>
      <c r="E41" s="9"/>
      <c r="F41" s="9">
        <f>IF(F20="Y",(F8*(F30+F31))*F32,0)</f>
        <v>37256.04</v>
      </c>
      <c r="G41" s="18"/>
      <c r="H41" s="106"/>
    </row>
    <row r="42" spans="1:8" x14ac:dyDescent="0.35">
      <c r="A42" s="106"/>
      <c r="B42"/>
      <c r="C42" s="81" t="s">
        <v>309</v>
      </c>
      <c r="D42" s="9"/>
      <c r="E42" s="9"/>
      <c r="F42" s="9">
        <f>IF(F23="Y", ((F25*(1+F33))-F25)*F32, 0)</f>
        <v>3365.1717718734062</v>
      </c>
      <c r="G42" s="18"/>
      <c r="H42" s="106"/>
    </row>
    <row r="43" spans="1:8" x14ac:dyDescent="0.35">
      <c r="A43" s="106"/>
      <c r="B43"/>
      <c r="C43" s="81" t="s">
        <v>304</v>
      </c>
      <c r="D43" s="9"/>
      <c r="E43" s="9"/>
      <c r="F43" s="9">
        <f>SUM(F40:F42)</f>
        <v>77877.251771873402</v>
      </c>
      <c r="G43" s="18"/>
      <c r="H43" s="106"/>
    </row>
    <row r="44" spans="1:8" x14ac:dyDescent="0.35">
      <c r="A44" s="106"/>
      <c r="B44"/>
      <c r="C44" s="81" t="s">
        <v>305</v>
      </c>
      <c r="D44" s="9"/>
      <c r="E44" s="9"/>
      <c r="F44" s="9">
        <f>F43/F32</f>
        <v>389.38625885936699</v>
      </c>
      <c r="G44" s="18"/>
      <c r="H44" s="106"/>
    </row>
    <row r="45" spans="1:8" x14ac:dyDescent="0.35">
      <c r="A45" s="106"/>
      <c r="B45"/>
      <c r="C45" s="81" t="s">
        <v>59</v>
      </c>
      <c r="D45" s="9"/>
      <c r="E45" s="9"/>
      <c r="F45" s="262">
        <f>F44*F34</f>
        <v>38.938625885936702</v>
      </c>
      <c r="G45" s="18"/>
      <c r="H45" s="106"/>
    </row>
    <row r="46" spans="1:8" x14ac:dyDescent="0.35">
      <c r="A46" s="106"/>
      <c r="B46"/>
      <c r="C46" s="81" t="s">
        <v>62</v>
      </c>
      <c r="D46" s="43"/>
      <c r="E46" s="43"/>
      <c r="F46" s="43">
        <f>F10*60/F11</f>
        <v>3.4285714285714284</v>
      </c>
      <c r="G46" s="151"/>
      <c r="H46" s="106"/>
    </row>
    <row r="47" spans="1:8" x14ac:dyDescent="0.35">
      <c r="A47" s="106"/>
      <c r="B47"/>
      <c r="C47" s="81" t="s">
        <v>58</v>
      </c>
      <c r="D47" s="11"/>
      <c r="E47" s="11"/>
      <c r="F47" s="11">
        <f>(F8*F34)/F9</f>
        <v>0.55940000000000001</v>
      </c>
      <c r="G47" s="158"/>
      <c r="H47" s="106"/>
    </row>
    <row r="48" spans="1:8" x14ac:dyDescent="0.35">
      <c r="A48" s="106"/>
      <c r="B48"/>
      <c r="C48" s="81" t="s">
        <v>60</v>
      </c>
      <c r="D48" s="11"/>
      <c r="E48" s="11"/>
      <c r="F48" s="11">
        <f>((F8*F34)-F45)/F9</f>
        <v>0.53344091607604216</v>
      </c>
      <c r="G48" s="158"/>
      <c r="H48" s="106"/>
    </row>
    <row r="49" spans="1:20" x14ac:dyDescent="0.35">
      <c r="A49" s="106"/>
      <c r="B49"/>
      <c r="C49" s="81" t="s">
        <v>273</v>
      </c>
      <c r="D49" s="11"/>
      <c r="E49" s="11"/>
      <c r="F49" s="11">
        <f>F46*(1+F35*((F47)^F36))</f>
        <v>3.6370437923288614</v>
      </c>
      <c r="G49" s="158"/>
      <c r="H49" s="106"/>
    </row>
    <row r="50" spans="1:20" x14ac:dyDescent="0.35">
      <c r="A50" s="106"/>
      <c r="B50"/>
      <c r="C50" s="85" t="s">
        <v>274</v>
      </c>
      <c r="D50" s="44"/>
      <c r="E50" s="44"/>
      <c r="F50" s="204">
        <f>F46*(1+F35*((F48)^F36))</f>
        <v>3.5929585536566733</v>
      </c>
      <c r="G50" s="159"/>
      <c r="H50" s="106"/>
    </row>
    <row r="51" spans="1:20" x14ac:dyDescent="0.35">
      <c r="A51" s="106"/>
      <c r="B51"/>
      <c r="C51" s="81" t="s">
        <v>154</v>
      </c>
      <c r="D51" s="44">
        <f>F51</f>
        <v>32.993828738906096</v>
      </c>
      <c r="E51" s="44">
        <f>F51</f>
        <v>32.993828738906096</v>
      </c>
      <c r="F51" s="204">
        <f>F$10/(F49/60)</f>
        <v>32.993828738906096</v>
      </c>
      <c r="G51" s="159"/>
      <c r="H51" s="106"/>
    </row>
    <row r="52" spans="1:20" x14ac:dyDescent="0.35">
      <c r="A52" s="106"/>
      <c r="B52"/>
      <c r="C52" s="85" t="s">
        <v>155</v>
      </c>
      <c r="D52" s="44">
        <f>F52</f>
        <v>33.398659686144171</v>
      </c>
      <c r="E52" s="44">
        <f>F52</f>
        <v>33.398659686144171</v>
      </c>
      <c r="F52" s="204">
        <f>F$10/(F50/60)</f>
        <v>33.398659686144171</v>
      </c>
      <c r="G52" s="159"/>
      <c r="H52" s="106"/>
    </row>
    <row r="53" spans="1:20" x14ac:dyDescent="0.35">
      <c r="A53" s="106"/>
      <c r="B53"/>
      <c r="C53" s="137" t="s">
        <v>132</v>
      </c>
      <c r="D53" s="165"/>
      <c r="E53" s="165"/>
      <c r="F53" s="165"/>
      <c r="G53" s="159"/>
      <c r="H53" s="106"/>
    </row>
    <row r="54" spans="1:20" x14ac:dyDescent="0.35">
      <c r="A54" s="106"/>
      <c r="B54"/>
      <c r="C54" s="85" t="s">
        <v>439</v>
      </c>
      <c r="D54" s="44">
        <f>LOOKUP(ROUNDDOWN($D$51/5, 0)*5,'2025ER'!$D$6:$D$21,'2025ER'!$H$6:$H$21)+(($D$51-ROUNDDOWN($D$51/5, 0)*5)/5)*(LOOKUP(ROUNDUP($D$51/5, 0)*5,'2025ER'!$D$6:$D$21,'2025ER'!$H$6:$H$21)-LOOKUP(ROUNDDOWN($D$51/5, 0)*5,'2025ER'!$D$6:$D$21,'2025ER'!$H$6:$H$21))</f>
        <v>304.6920494044893</v>
      </c>
      <c r="E54" s="44">
        <f>LOOKUP(ROUNDDOWN($E$51/5, 0)*5,'2035ER'!$D$6:$D$21,'2035ER'!$H$6:$H$21)+(($E$51-ROUNDDOWN($E$51/5, 0)*5)/5)*(LOOKUP(ROUNDUP($E$51/5, 0)*5,'2035ER'!$D$6:$D$21,'2035ER'!$H$6:$H$21)-LOOKUP(ROUNDDOWN($E$51/5, 0)*5,'2035ER'!$D$6:$D$21,'2035ER'!$H$6:$H$21))</f>
        <v>167.84861405883973</v>
      </c>
      <c r="F54" s="44">
        <f>IF($F$7&gt;2035,E54,TREND(D54:E54,$D$7:$E$7,$F$7))</f>
        <v>236.27033173166274</v>
      </c>
      <c r="G54" s="159"/>
      <c r="H54" s="106"/>
    </row>
    <row r="55" spans="1:20" x14ac:dyDescent="0.35">
      <c r="A55" s="106"/>
      <c r="B55"/>
      <c r="C55" s="85" t="s">
        <v>106</v>
      </c>
      <c r="D55" s="44">
        <f>LOOKUP(ROUNDDOWN($D$51/5, 0)*5,'2025ER'!$D$23:$D$38,'2025ER'!$H$23:$H$38)+(($D$51-ROUNDDOWN($D$51/5, 0)*5)/5)*(LOOKUP(ROUNDUP($D$51/5, 0)*5,'2025ER'!$D$23:$D$38,'2025ER'!$H$23:$H$38)-LOOKUP(ROUNDDOWN($D$51/5, 0)*5,'2025ER'!$D$23:$D$38,'2025ER'!$H$23:$H$38))</f>
        <v>0.13725969610304611</v>
      </c>
      <c r="E55" s="44">
        <f>LOOKUP(ROUNDDOWN($E$51/5, 0)*5,'2035ER'!$D$23:$D$38,'2035ER'!$H$23:$H$38)+(($E$51-ROUNDDOWN($E$51/5, 0)*5)/5)*(LOOKUP(ROUNDUP($E$51/5, 0)*5,'2035ER'!$D$23:$D$38,'2035ER'!$H$23:$H$38)-LOOKUP(ROUNDDOWN($E$51/5, 0)*5,'2035ER'!$D$23:$D$38,'2035ER'!$H$23:$H$38))</f>
        <v>1.7004640821705809E-2</v>
      </c>
      <c r="F55" s="44">
        <f t="shared" ref="F55:F60" si="0">IF($F$7&gt;2035,E55,TREND(D55:E55,$D$7:$E$7,$F$7))</f>
        <v>7.7132168462377138E-2</v>
      </c>
      <c r="G55" s="159"/>
      <c r="H55" s="106"/>
    </row>
    <row r="56" spans="1:20" x14ac:dyDescent="0.35">
      <c r="A56" s="106"/>
      <c r="B56"/>
      <c r="C56" s="85" t="s">
        <v>122</v>
      </c>
      <c r="D56" s="44">
        <f>LOOKUP(ROUNDDOWN($D$51/5, 0)*5,'2025ER'!$D$40:$D$55,'2025ER'!$H$40:$H$55)+(($D$51-ROUNDDOWN($D$51/5, 0)*5)/5)*(LOOKUP(ROUNDUP($D$51/5, 0)*5,'2025ER'!$D$40:$D$55,'2025ER'!$H$40:$H$55)-LOOKUP(ROUNDDOWN($D$51/5, 0)*5,'2025ER'!$D$40:$D$55,'2025ER'!$H$40:$H$55))</f>
        <v>2.8861481353357477E-3</v>
      </c>
      <c r="E56" s="44">
        <f>LOOKUP(ROUNDDOWN($E$51/5, 0)*5,'2035ER'!$D$40:$D$55,'2035ER'!$H$40:$H$55)+(($E$51-ROUNDDOWN($E$51/5, 0)*5)/5)*(LOOKUP(ROUNDUP($E$51/5, 0)*5,'2035ER'!$D$40:$D$55,'2035ER'!$H$40:$H$55)-LOOKUP(ROUNDDOWN($E$51/5, 0)*5,'2035ER'!$D$40:$D$55,'2035ER'!$H$40:$H$55))</f>
        <v>1.0450109342438727E-3</v>
      </c>
      <c r="F56" s="44">
        <f t="shared" si="0"/>
        <v>1.9655795347898186E-3</v>
      </c>
      <c r="G56" s="159"/>
      <c r="H56" s="106"/>
    </row>
    <row r="57" spans="1:20" x14ac:dyDescent="0.35">
      <c r="A57" s="106"/>
      <c r="B57"/>
      <c r="C57" s="85" t="s">
        <v>146</v>
      </c>
      <c r="D57" s="44">
        <f>LOOKUP(ROUNDDOWN($D$51/5, 0)*5,'2025ER'!$D$57:$D$72,'2025ER'!$H$57:$H$72)+(($D$51-ROUNDDOWN($D$51/5, 0)*5)/5)*(LOOKUP(ROUNDUP($D$51/5, 0)*5,'2025ER'!$D$57:$D$72,'2025ER'!$H$57:$H$72)-LOOKUP(ROUNDDOWN($D$51/5, 0)*5,'2025ER'!$D$57:$D$72,'2025ER'!$H$57:$H$72))</f>
        <v>0.13504447565095334</v>
      </c>
      <c r="E57" s="44">
        <f>LOOKUP(ROUNDDOWN($E$51/5, 0)*5,'2035ER'!$D$57:$D$72,'2035ER'!$H$57:$H$72)+(($E$51-ROUNDDOWN($E$51/5, 0)*5)/5)*(LOOKUP(ROUNDUP($E$51/5, 0)*5,'2035ER'!$D$57:$D$72,'2035ER'!$H$57:$H$72)-LOOKUP(ROUNDDOWN($E$51/5, 0)*5,'2035ER'!$D$57:$D$72,'2035ER'!$H$57:$H$72))</f>
        <v>1.6805488896924157E-2</v>
      </c>
      <c r="F57" s="44">
        <f t="shared" si="0"/>
        <v>7.5924982273939179E-2</v>
      </c>
      <c r="G57" s="159"/>
      <c r="H57" s="106"/>
      <c r="N57" s="217"/>
      <c r="O57" s="229"/>
      <c r="P57" s="229"/>
      <c r="Q57" s="229"/>
      <c r="R57" s="229"/>
      <c r="S57" s="229"/>
      <c r="T57" s="229"/>
    </row>
    <row r="58" spans="1:20" x14ac:dyDescent="0.35">
      <c r="A58" s="106"/>
      <c r="B58"/>
      <c r="C58" s="85" t="s">
        <v>144</v>
      </c>
      <c r="D58" s="44">
        <f>LOOKUP(ROUNDDOWN($D$51/5, 0)*5,'2025ER'!$D$74:$D$89,'2025ER'!$H$74:$H$89)+(($D$51-ROUNDDOWN($D$51/5, 0)*5)/5)*(LOOKUP(ROUNDUP($D$51/5, 0)*5,'2025ER'!$D$74:$D$89,'2025ER'!$H$74:$H$89)-LOOKUP(ROUNDDOWN($D$51/5, 0)*5,'2025ER'!$D$74:$D$89,'2025ER'!$H$74:$H$89))</f>
        <v>9.6472584696419658E-2</v>
      </c>
      <c r="E58" s="44">
        <f>LOOKUP(ROUNDDOWN($E$51/5, 0)*5,'2035ER'!$D$74:$D$89,'2035ER'!$H$74:$H$89)+(($E$51-ROUNDDOWN($E$51/5, 0)*5)/5)*(LOOKUP(ROUNDUP($E$51/5, 0)*5,'2035ER'!$D$74:$D$89,'2035ER'!$H$74:$H$89)-LOOKUP(ROUNDDOWN($E$51/5, 0)*5,'2035ER'!$D$74:$D$89,'2035ER'!$H$74:$H$89))</f>
        <v>4.4191860029229577E-2</v>
      </c>
      <c r="F58" s="44">
        <f t="shared" si="0"/>
        <v>7.0332222362823771E-2</v>
      </c>
      <c r="G58" s="159"/>
      <c r="H58" s="106"/>
      <c r="N58" s="217"/>
      <c r="O58" s="229"/>
      <c r="P58" s="229"/>
      <c r="Q58" s="229"/>
      <c r="R58" s="229"/>
      <c r="S58" s="229"/>
      <c r="T58" s="229"/>
    </row>
    <row r="59" spans="1:20" x14ac:dyDescent="0.35">
      <c r="A59" s="106"/>
      <c r="B59"/>
      <c r="C59" s="85" t="s">
        <v>383</v>
      </c>
      <c r="D59" s="44">
        <f>LOOKUP(ROUNDDOWN($D$51/5, 0)*5,'2025ER'!$D$91:$D$106,'2025ER'!$H$91:$H$106)+(($D$51-ROUNDDOWN($D$51/5, 0)*5)/5)*(LOOKUP(ROUNDUP($D$51/5, 0)*5,'2025ER'!$D$91:$D$106,'2025ER'!$H$91:$H$106)-LOOKUP(ROUNDDOWN($D$51/5, 0)*5,'2025ER'!$D$91:$D$106,'2025ER'!$H$91:$H$106))</f>
        <v>2.0726315986543177E-3</v>
      </c>
      <c r="E59" s="298">
        <f>LOOKUP(ROUNDDOWN($E$51/5, 0)*5,'2035ER'!$D$91:$D$106,'2035ER'!$H$91:$H$106)+(($E$51-ROUNDDOWN($E$51/5, 0)*5)/5)*(LOOKUP(ROUNDUP($E$51/5, 0)*5,'2035ER'!$D$91:$D$106,'2035ER'!$H$91:$H$106)-LOOKUP(ROUNDDOWN($E$51/5, 0)*5,'2035ER'!$D$91:$D$106,'2035ER'!$H$91:$H$106))</f>
        <v>1.1438616763064958E-3</v>
      </c>
      <c r="F59" s="44">
        <f t="shared" si="0"/>
        <v>1.6082466374804094E-3</v>
      </c>
      <c r="G59" s="159"/>
      <c r="H59" s="106"/>
      <c r="N59" s="217"/>
      <c r="O59" s="229"/>
      <c r="P59" s="229"/>
      <c r="Q59" s="229"/>
      <c r="R59" s="229"/>
      <c r="S59" s="229"/>
      <c r="T59" s="229"/>
    </row>
    <row r="60" spans="1:20" x14ac:dyDescent="0.35">
      <c r="A60" s="106"/>
      <c r="B60"/>
      <c r="C60" s="85" t="s">
        <v>384</v>
      </c>
      <c r="D60" s="44">
        <f>LOOKUP(ROUNDDOWN($D$51/5, 0)*5,'2025ER'!$D$108:$D$123,'2025ER'!$H$108:$H$123)+(($D$51-ROUNDDOWN($D$51/5, 0)*5)/5)*(LOOKUP(ROUNDUP($D$51/5, 0)*5,'2025ER'!$D$108:$D$123,'2025ER'!$H$108:$H$123)-LOOKUP(ROUNDDOWN($D$51/5, 0)*5,'2025ER'!$D$108:$D$123,'2025ER'!$H$108:$H$123))</f>
        <v>2.8516198485103343</v>
      </c>
      <c r="E60" s="298">
        <f>LOOKUP(ROUNDDOWN($E$51/5, 0)*5,'2035ER'!$D$91:$D$106,'2035ER'!$H$91:$H$106)+(($E$51-ROUNDDOWN($E$51/5, 0)*5)/5)*(LOOKUP(ROUNDUP($E$51/5, 0)*5,'2035ER'!$D$91:$D$106,'2035ER'!$H$91:$H$106)-LOOKUP(ROUNDDOWN($E$51/5, 0)*5,'2035ER'!$D$91:$D$106,'2035ER'!$H$91:$H$106))</f>
        <v>1.1438616763064958E-3</v>
      </c>
      <c r="F60" s="44">
        <f t="shared" si="0"/>
        <v>1.4263818550932683</v>
      </c>
      <c r="G60" s="159"/>
      <c r="H60" s="106"/>
      <c r="N60" s="217"/>
      <c r="O60" s="229"/>
      <c r="P60" s="229"/>
      <c r="Q60" s="229"/>
      <c r="R60" s="229"/>
      <c r="S60" s="229"/>
      <c r="T60" s="229"/>
    </row>
    <row r="61" spans="1:20" x14ac:dyDescent="0.35">
      <c r="A61" s="106"/>
      <c r="B61"/>
      <c r="C61" s="137" t="s">
        <v>135</v>
      </c>
      <c r="D61" s="165"/>
      <c r="E61" s="165"/>
      <c r="F61" s="165"/>
      <c r="G61" s="159"/>
      <c r="H61" s="106"/>
      <c r="N61" s="217"/>
      <c r="O61" s="229"/>
      <c r="P61" s="229"/>
      <c r="Q61" s="229"/>
      <c r="R61" s="229"/>
      <c r="S61" s="229"/>
      <c r="T61" s="229"/>
    </row>
    <row r="62" spans="1:20" x14ac:dyDescent="0.35">
      <c r="A62" s="106"/>
      <c r="B62"/>
      <c r="C62" s="85" t="s">
        <v>439</v>
      </c>
      <c r="D62" s="44">
        <f>LOOKUP(ROUNDDOWN($D$52/5, 0)*5,'2025ER'!$D$6:$D$21,'2025ER'!$H$6:$H$21)+(($D$52-ROUNDDOWN($D$52/5, 0)*5)/5)*(LOOKUP(ROUNDUP($D$52/5, 0)*5,'2025ER'!$D$6:$D$21,'2025ER'!$H$6:$H$21)-LOOKUP(ROUNDDOWN($D$52/5, 0)*5,'2025ER'!$D$6:$D$21,'2025ER'!$H$6:$H$21))</f>
        <v>303.27804822440169</v>
      </c>
      <c r="E62" s="44">
        <f>LOOKUP(ROUNDDOWN($E$52/5, 0)*5,'2035ER'!$D$6:$D$21,'2035ER'!$H$6:$H$21)+(($E$52-ROUNDDOWN($E$52/5, 0)*5)/5)*(LOOKUP(ROUNDUP($E$52/5, 0)*5,'2035ER'!$D$6:$D$21,'2035ER'!$H$6:$H$21)-LOOKUP(ROUNDDOWN($E$52/5, 0)*5,'2035ER'!$D$6:$D$21,'2035ER'!$H$6:$H$21))</f>
        <v>167.08358786793571</v>
      </c>
      <c r="F62" s="44">
        <f>IF($F$7&gt;2035,E62,TREND(D62:E62,$D$7:$E$7,$F$7))</f>
        <v>235.18081804617032</v>
      </c>
      <c r="G62" s="159"/>
      <c r="H62" s="106"/>
      <c r="N62" s="217"/>
      <c r="O62" s="229"/>
      <c r="P62" s="229"/>
      <c r="Q62" s="229"/>
      <c r="R62" s="229"/>
      <c r="S62" s="229"/>
      <c r="T62" s="229"/>
    </row>
    <row r="63" spans="1:20" x14ac:dyDescent="0.35">
      <c r="A63" s="106"/>
      <c r="B63"/>
      <c r="C63" s="85" t="s">
        <v>106</v>
      </c>
      <c r="D63" s="44">
        <f>LOOKUP(ROUNDDOWN($D$52/5, 0)*5,'2025ER'!$D$23:$D$38,'2025ER'!$H$23:$H$38)+(($D$52-ROUNDDOWN($D$52/5, 0)*5)/5)*(LOOKUP(ROUNDUP($D$52/5, 0)*5,'2025ER'!$D$23:$D$38,'2025ER'!$H$23:$H$38)-LOOKUP(ROUNDDOWN($D$52/5, 0)*5,'2025ER'!$D$23:$D$38,'2025ER'!$H$23:$H$38))</f>
        <v>0.13676307925717118</v>
      </c>
      <c r="E63" s="44">
        <f>LOOKUP(ROUNDDOWN($E$52/5, 0)*5,'2035ER'!$D$23:$D$38,'2035ER'!$H$23:$H$38)+(($E$52-ROUNDDOWN($E$52/5, 0)*5)/5)*(LOOKUP(ROUNDUP($E$52/5, 0)*5,'2035ER'!$D$23:$D$38,'2035ER'!$H$23:$H$38)-LOOKUP(ROUNDDOWN($E$52/5, 0)*5,'2035ER'!$D$23:$D$38,'2035ER'!$H$23:$H$38))</f>
        <v>1.6936695278051722E-2</v>
      </c>
      <c r="F63" s="44">
        <f t="shared" ref="F63:F68" si="1">IF($F$7&gt;2035,E63,TREND(D63:E63,$D$7:$E$7,$F$7))</f>
        <v>7.6849887267609773E-2</v>
      </c>
      <c r="G63" s="159"/>
      <c r="H63" s="106"/>
      <c r="N63" s="217"/>
      <c r="O63" s="229"/>
      <c r="P63" s="229"/>
      <c r="Q63" s="229"/>
      <c r="R63" s="229"/>
      <c r="S63" s="229"/>
      <c r="T63" s="229"/>
    </row>
    <row r="64" spans="1:20" x14ac:dyDescent="0.35">
      <c r="A64" s="106"/>
      <c r="B64"/>
      <c r="C64" s="85" t="s">
        <v>122</v>
      </c>
      <c r="D64" s="44">
        <f>LOOKUP(ROUNDDOWN($D$52/5, 0)*5,'2025ER'!$D$40:$D$55,'2025ER'!$H$40:$H$55)+(($D$52-ROUNDDOWN($D$52/5, 0)*5)/5)*(LOOKUP(ROUNDUP($D$52/5, 0)*5,'2025ER'!$D$40:$D$55,'2025ER'!$H$40:$H$55)-LOOKUP(ROUNDDOWN($D$52/5, 0)*5,'2025ER'!$D$40:$D$55,'2025ER'!$H$40:$H$55))</f>
        <v>2.8651896326562921E-3</v>
      </c>
      <c r="E64" s="44">
        <f>LOOKUP(ROUNDDOWN($E$52/5, 0)*5,'2035ER'!$D$40:$D$55,'2035ER'!$H$40:$H$55)+(($E$52-ROUNDDOWN($E$52/5, 0)*5)/5)*(LOOKUP(ROUNDUP($E$52/5, 0)*5,'2035ER'!$D$40:$D$55,'2035ER'!$H$40:$H$55)-LOOKUP(ROUNDDOWN($E$52/5, 0)*5,'2035ER'!$D$40:$D$55,'2035ER'!$H$40:$H$55))</f>
        <v>1.0386650992213881E-3</v>
      </c>
      <c r="F64" s="44">
        <f t="shared" si="1"/>
        <v>1.9519273659388547E-3</v>
      </c>
      <c r="G64" s="159"/>
      <c r="H64" s="106"/>
      <c r="N64" s="217"/>
      <c r="O64" s="229"/>
      <c r="P64" s="229"/>
      <c r="Q64" s="229"/>
      <c r="R64" s="229"/>
      <c r="S64" s="229"/>
      <c r="T64" s="229"/>
    </row>
    <row r="65" spans="1:20" x14ac:dyDescent="0.35">
      <c r="A65" s="106"/>
      <c r="B65"/>
      <c r="C65" s="85" t="s">
        <v>146</v>
      </c>
      <c r="D65" s="44">
        <f>LOOKUP(ROUNDDOWN($D$52/5, 0)*5,'2025ER'!$D$57:$D$72,'2025ER'!$H$57:$H$72)+(($D$52-ROUNDDOWN($D$52/5, 0)*5)/5)*(LOOKUP(ROUNDUP($D$52/5, 0)*5,'2025ER'!$D$57:$D$72,'2025ER'!$H$57:$H$72)-LOOKUP(ROUNDDOWN($D$52/5, 0)*5,'2025ER'!$D$57:$D$72,'2025ER'!$H$57:$H$72))</f>
        <v>0.13453892778679297</v>
      </c>
      <c r="E65" s="44">
        <f>LOOKUP(ROUNDDOWN($E$52/5, 0)*5,'2035ER'!$D$57:$D$72,'2035ER'!$H$57:$H$72)+(($E$52-ROUNDDOWN($E$52/5, 0)*5)/5)*(LOOKUP(ROUNDUP($E$52/5, 0)*5,'2035ER'!$D$57:$D$72,'2035ER'!$H$57:$H$72)-LOOKUP(ROUNDDOWN($E$52/5, 0)*5,'2035ER'!$D$57:$D$72,'2035ER'!$H$57:$H$72))</f>
        <v>1.6735248849231048E-2</v>
      </c>
      <c r="F65" s="44">
        <f t="shared" si="1"/>
        <v>7.5637088318011081E-2</v>
      </c>
      <c r="G65" s="159"/>
      <c r="H65" s="106"/>
      <c r="N65" s="217"/>
      <c r="O65" s="229"/>
      <c r="P65" s="229"/>
      <c r="Q65" s="229"/>
      <c r="R65" s="229"/>
      <c r="S65" s="229"/>
      <c r="T65" s="229"/>
    </row>
    <row r="66" spans="1:20" x14ac:dyDescent="0.35">
      <c r="A66" s="106"/>
      <c r="B66"/>
      <c r="C66" s="85" t="s">
        <v>144</v>
      </c>
      <c r="D66" s="44">
        <f>LOOKUP(ROUNDDOWN($D$52/5, 0)*5,'2025ER'!$D$74:$D$89,'2025ER'!$H$74:$H$89)+(($D$52-ROUNDDOWN($D$52/5, 0)*5)/5)*(LOOKUP(ROUNDUP($D$52/5, 0)*5,'2025ER'!$D$74:$D$89,'2025ER'!$H$74:$H$89)-LOOKUP(ROUNDDOWN($D$52/5, 0)*5,'2025ER'!$D$74:$D$89,'2025ER'!$H$74:$H$89))</f>
        <v>9.5471001309398867E-2</v>
      </c>
      <c r="E66" s="44">
        <f>LOOKUP(ROUNDDOWN($E$52/5, 0)*5,'2035ER'!$D$74:$D$89,'2035ER'!$H$74:$H$89)+(($E$52-ROUNDDOWN($E$52/5, 0)*5)/5)*(LOOKUP(ROUNDUP($E$52/5, 0)*5,'2035ER'!$D$74:$D$89,'2035ER'!$H$74:$H$89)-LOOKUP(ROUNDDOWN($E$52/5, 0)*5,'2035ER'!$D$74:$D$89,'2035ER'!$H$74:$H$89))</f>
        <v>4.3735211852937397E-2</v>
      </c>
      <c r="F66" s="44">
        <f t="shared" si="1"/>
        <v>6.9603106581167751E-2</v>
      </c>
      <c r="G66" s="159"/>
      <c r="H66" s="106"/>
      <c r="N66" s="217"/>
      <c r="O66" s="229"/>
      <c r="P66" s="229"/>
      <c r="Q66" s="229"/>
      <c r="R66" s="229"/>
      <c r="S66" s="229"/>
      <c r="T66" s="229"/>
    </row>
    <row r="67" spans="1:20" x14ac:dyDescent="0.35">
      <c r="A67" s="106"/>
      <c r="B67"/>
      <c r="C67" s="85" t="s">
        <v>383</v>
      </c>
      <c r="D67" s="44">
        <f>LOOKUP(ROUNDDOWN($D$52/5, 0)*5,'2025ER'!$D$91:$D$106,'2025ER'!$H$91:$H$106)+(($D$52-ROUNDDOWN($D$52/5, 0)*5)/5)*(LOOKUP(ROUNDUP($D$52/5, 0)*5,'2025ER'!$D$91:$D$106,'2025ER'!$H$91:$H$106)-LOOKUP(ROUNDDOWN($D$52/5, 0)*5,'2025ER'!$D$91:$D$106,'2025ER'!$H$91:$H$106))</f>
        <v>2.0630613715246029E-3</v>
      </c>
      <c r="E67" s="298">
        <f>LOOKUP(ROUNDDOWN($E$52/5, 0)*5,'2035ER'!$D$91:$D$106,'2035ER'!$H$91:$H$106)+(($E$52-ROUNDDOWN($E$52/5, 0)*5)/5)*(LOOKUP(ROUNDUP($E$52/5, 0)*5,'2035ER'!$D$91:$D$106,'2035ER'!$H$91:$H$106)-LOOKUP(ROUNDDOWN($E$52/5, 0)*5,'2035ER'!$D$91:$D$106,'2035ER'!$H$91:$H$106))</f>
        <v>1.1386649280523396E-3</v>
      </c>
      <c r="F67" s="44">
        <f t="shared" si="1"/>
        <v>1.6008631497884673E-3</v>
      </c>
      <c r="G67" s="159"/>
      <c r="H67" s="106"/>
      <c r="N67" s="217"/>
      <c r="O67" s="229"/>
      <c r="P67" s="229"/>
      <c r="Q67" s="229"/>
      <c r="R67" s="229"/>
      <c r="S67" s="229"/>
      <c r="T67" s="229"/>
    </row>
    <row r="68" spans="1:20" x14ac:dyDescent="0.35">
      <c r="A68" s="106"/>
      <c r="B68"/>
      <c r="C68" s="85" t="s">
        <v>384</v>
      </c>
      <c r="D68" s="44">
        <f>LOOKUP(ROUNDDOWN($D$52/5, 0)*5,'2025ER'!$D$108:$D$123,'2025ER'!$H$108:$H$123)+(($D$52-ROUNDDOWN($D$52/5, 0)*5)/5)*(LOOKUP(ROUNDUP($D$52/5, 0)*5,'2025ER'!$D$108:$D$123,'2025ER'!$H$108:$H$123)-LOOKUP(ROUNDDOWN($D$52/5, 0)*5,'2025ER'!$D$108:$D$123,'2025ER'!$H$108:$H$123))</f>
        <v>2.8250873891136341</v>
      </c>
      <c r="E68" s="298">
        <f>LOOKUP(ROUNDDOWN($E$52/5, 0)*5,'2035ER'!$D$91:$D$106,'2035ER'!$H$91:$H$106)+(($E$52-ROUNDDOWN($E$52/5, 0)*5)/5)*(LOOKUP(ROUNDUP($E$52/5, 0)*5,'2035ER'!$D$91:$D$106,'2035ER'!$H$91:$H$106)-LOOKUP(ROUNDDOWN($E$52/5, 0)*5,'2035ER'!$D$91:$D$106,'2035ER'!$H$91:$H$106))</f>
        <v>1.1386649280523396E-3</v>
      </c>
      <c r="F68" s="44">
        <f t="shared" si="1"/>
        <v>1.4131130270208132</v>
      </c>
      <c r="G68" s="159"/>
      <c r="H68" s="106"/>
      <c r="N68" s="217"/>
      <c r="O68" s="229"/>
      <c r="P68" s="229"/>
      <c r="Q68" s="229"/>
      <c r="R68" s="229"/>
      <c r="S68" s="229"/>
      <c r="T68" s="229"/>
    </row>
    <row r="69" spans="1:20" x14ac:dyDescent="0.35">
      <c r="A69" s="106"/>
      <c r="B69"/>
      <c r="C69" s="137" t="s">
        <v>148</v>
      </c>
      <c r="D69" s="165"/>
      <c r="E69" s="165"/>
      <c r="F69" s="165"/>
      <c r="G69" s="159"/>
      <c r="H69" s="106"/>
      <c r="N69" s="217"/>
      <c r="O69" s="229"/>
      <c r="P69" s="229"/>
      <c r="Q69" s="229"/>
      <c r="R69" s="229"/>
      <c r="S69" s="229"/>
      <c r="T69" s="229"/>
    </row>
    <row r="70" spans="1:20" x14ac:dyDescent="0.35">
      <c r="A70" s="106"/>
      <c r="B70"/>
      <c r="C70" s="85" t="s">
        <v>440</v>
      </c>
      <c r="D70" s="44"/>
      <c r="E70" s="44"/>
      <c r="F70" s="8">
        <f t="shared" ref="F70:F76" si="2">F$8*F$10*F54*$F$32</f>
        <v>793017741.42415285</v>
      </c>
      <c r="G70" s="159"/>
      <c r="H70" s="106"/>
      <c r="N70" s="217"/>
      <c r="O70" s="229"/>
      <c r="P70" s="229"/>
      <c r="Q70" s="229"/>
      <c r="R70" s="229"/>
      <c r="S70" s="229"/>
      <c r="T70" s="229"/>
    </row>
    <row r="71" spans="1:20" x14ac:dyDescent="0.35">
      <c r="A71" s="106"/>
      <c r="B71"/>
      <c r="C71" s="85" t="s">
        <v>150</v>
      </c>
      <c r="D71" s="44"/>
      <c r="E71" s="44"/>
      <c r="F71" s="8">
        <f t="shared" si="2"/>
        <v>258886.41022712263</v>
      </c>
      <c r="G71" s="159"/>
      <c r="H71" s="106"/>
      <c r="N71" s="217"/>
      <c r="O71" s="229"/>
      <c r="P71" s="229"/>
      <c r="Q71" s="229"/>
      <c r="R71" s="229"/>
      <c r="S71" s="229"/>
      <c r="T71" s="229"/>
    </row>
    <row r="72" spans="1:20" x14ac:dyDescent="0.35">
      <c r="A72" s="106"/>
      <c r="B72"/>
      <c r="C72" s="85" t="s">
        <v>151</v>
      </c>
      <c r="D72" s="44"/>
      <c r="E72" s="44"/>
      <c r="F72" s="8">
        <f t="shared" si="2"/>
        <v>6597.2711505685465</v>
      </c>
      <c r="G72" s="159"/>
      <c r="H72" s="106"/>
      <c r="N72" s="217"/>
      <c r="O72" s="229"/>
      <c r="P72" s="229"/>
      <c r="Q72" s="229"/>
      <c r="R72" s="229"/>
      <c r="S72" s="229"/>
      <c r="T72" s="229"/>
    </row>
    <row r="73" spans="1:20" x14ac:dyDescent="0.35">
      <c r="A73" s="106"/>
      <c r="B73"/>
      <c r="C73" s="85" t="s">
        <v>152</v>
      </c>
      <c r="D73" s="44"/>
      <c r="E73" s="44"/>
      <c r="F73" s="8">
        <f t="shared" si="2"/>
        <v>254834.61050424943</v>
      </c>
      <c r="G73" s="159"/>
      <c r="H73" s="106"/>
      <c r="N73" s="217"/>
      <c r="O73" s="229"/>
      <c r="P73" s="229"/>
      <c r="Q73" s="229"/>
      <c r="R73" s="229"/>
      <c r="S73" s="229"/>
      <c r="T73" s="229"/>
    </row>
    <row r="74" spans="1:20" x14ac:dyDescent="0.35">
      <c r="A74" s="106"/>
      <c r="B74"/>
      <c r="C74" s="85" t="s">
        <v>153</v>
      </c>
      <c r="D74" s="44"/>
      <c r="E74" s="44"/>
      <c r="F74" s="8">
        <f t="shared" si="2"/>
        <v>236063.0711385817</v>
      </c>
      <c r="G74" s="159"/>
      <c r="H74" s="106"/>
      <c r="N74" s="217"/>
      <c r="O74" s="229"/>
      <c r="P74" s="229"/>
      <c r="Q74" s="229"/>
      <c r="R74" s="229"/>
      <c r="S74" s="229"/>
      <c r="T74" s="229"/>
    </row>
    <row r="75" spans="1:20" x14ac:dyDescent="0.35">
      <c r="A75" s="106"/>
      <c r="B75"/>
      <c r="C75" s="85" t="s">
        <v>385</v>
      </c>
      <c r="D75" s="44"/>
      <c r="E75" s="44"/>
      <c r="F75" s="8">
        <f t="shared" si="2"/>
        <v>5397.9190140392457</v>
      </c>
      <c r="G75" s="159"/>
      <c r="H75" s="106"/>
      <c r="N75" s="217"/>
      <c r="O75" s="229"/>
      <c r="P75" s="229"/>
      <c r="Q75" s="229"/>
      <c r="R75" s="229"/>
      <c r="S75" s="229"/>
      <c r="T75" s="229"/>
    </row>
    <row r="76" spans="1:20" x14ac:dyDescent="0.35">
      <c r="A76" s="106"/>
      <c r="B76"/>
      <c r="C76" s="85" t="s">
        <v>386</v>
      </c>
      <c r="D76" s="44"/>
      <c r="E76" s="44"/>
      <c r="F76" s="8">
        <f t="shared" si="2"/>
        <v>4787508.0584350461</v>
      </c>
      <c r="G76" s="159"/>
      <c r="H76" s="106"/>
      <c r="N76" s="217"/>
      <c r="O76" s="229"/>
      <c r="P76" s="229"/>
      <c r="Q76" s="229"/>
      <c r="R76" s="229"/>
      <c r="S76" s="229"/>
      <c r="T76" s="229"/>
    </row>
    <row r="77" spans="1:20" x14ac:dyDescent="0.35">
      <c r="A77" s="106"/>
      <c r="B77"/>
      <c r="C77" s="137" t="s">
        <v>149</v>
      </c>
      <c r="D77" s="165"/>
      <c r="E77" s="165"/>
      <c r="F77" s="165"/>
      <c r="G77" s="159"/>
      <c r="H77" s="106"/>
      <c r="N77" s="217"/>
      <c r="O77" s="229"/>
      <c r="P77" s="229"/>
      <c r="Q77" s="229"/>
      <c r="R77" s="229"/>
      <c r="S77" s="229"/>
      <c r="T77" s="229"/>
    </row>
    <row r="78" spans="1:20" x14ac:dyDescent="0.35">
      <c r="A78" s="106"/>
      <c r="B78"/>
      <c r="C78" s="85" t="s">
        <v>440</v>
      </c>
      <c r="D78" s="44"/>
      <c r="E78" s="44"/>
      <c r="F78" s="8">
        <f t="shared" ref="F78:F84" si="3">(F$8*F$10*F$32-F$89)*F62</f>
        <v>752340017.50644171</v>
      </c>
      <c r="G78" s="159"/>
      <c r="H78" s="106"/>
      <c r="N78" s="217"/>
      <c r="O78" s="229"/>
      <c r="P78" s="229"/>
      <c r="Q78" s="229"/>
      <c r="R78" s="229"/>
      <c r="S78" s="229"/>
      <c r="T78" s="229"/>
    </row>
    <row r="79" spans="1:20" x14ac:dyDescent="0.35">
      <c r="A79" s="106"/>
      <c r="B79"/>
      <c r="C79" s="85" t="s">
        <v>150</v>
      </c>
      <c r="D79" s="44"/>
      <c r="E79" s="44"/>
      <c r="F79" s="8">
        <f t="shared" si="3"/>
        <v>245841.6720063072</v>
      </c>
      <c r="G79" s="159"/>
      <c r="H79" s="106"/>
      <c r="I79" s="260"/>
      <c r="N79" s="217"/>
      <c r="O79" s="229"/>
      <c r="P79" s="229"/>
      <c r="Q79" s="229"/>
      <c r="R79" s="229"/>
      <c r="S79" s="229"/>
      <c r="T79" s="229"/>
    </row>
    <row r="80" spans="1:20" x14ac:dyDescent="0.35">
      <c r="A80" s="106"/>
      <c r="B80"/>
      <c r="C80" s="85" t="s">
        <v>151</v>
      </c>
      <c r="D80" s="44"/>
      <c r="E80" s="44"/>
      <c r="F80" s="8">
        <f t="shared" si="3"/>
        <v>6244.1872634929123</v>
      </c>
      <c r="G80" s="159"/>
      <c r="H80" s="106"/>
      <c r="N80" s="217"/>
      <c r="O80" s="229"/>
      <c r="P80" s="229"/>
      <c r="Q80" s="229"/>
      <c r="R80" s="229"/>
      <c r="S80" s="229"/>
      <c r="T80" s="229"/>
    </row>
    <row r="81" spans="1:20" x14ac:dyDescent="0.35">
      <c r="A81" s="106"/>
      <c r="B81"/>
      <c r="C81" s="85" t="s">
        <v>152</v>
      </c>
      <c r="D81" s="44"/>
      <c r="E81" s="44"/>
      <c r="F81" s="8">
        <f t="shared" si="3"/>
        <v>241961.9458000919</v>
      </c>
      <c r="G81" s="159"/>
      <c r="H81" s="106"/>
      <c r="N81" s="217"/>
      <c r="O81" s="229"/>
      <c r="P81" s="229"/>
      <c r="Q81" s="229"/>
      <c r="R81" s="229"/>
      <c r="S81" s="229"/>
      <c r="T81" s="229"/>
    </row>
    <row r="82" spans="1:20" x14ac:dyDescent="0.35">
      <c r="A82" s="106"/>
      <c r="B82"/>
      <c r="C82" s="85" t="s">
        <v>153</v>
      </c>
      <c r="D82" s="44"/>
      <c r="E82" s="44"/>
      <c r="F82" s="8">
        <f t="shared" si="3"/>
        <v>222659.32595530909</v>
      </c>
      <c r="G82" s="159"/>
      <c r="H82" s="106"/>
      <c r="N82" s="217"/>
      <c r="O82" s="229"/>
      <c r="P82" s="229"/>
      <c r="Q82" s="229"/>
      <c r="R82" s="229"/>
      <c r="S82" s="229"/>
      <c r="T82" s="229"/>
    </row>
    <row r="83" spans="1:20" x14ac:dyDescent="0.35">
      <c r="A83" s="106"/>
      <c r="B83"/>
      <c r="C83" s="85" t="s">
        <v>385</v>
      </c>
      <c r="D83" s="299"/>
      <c r="E83" s="299"/>
      <c r="F83" s="8">
        <f t="shared" si="3"/>
        <v>5121.1379403435376</v>
      </c>
      <c r="G83" s="159"/>
      <c r="H83" s="106"/>
    </row>
    <row r="84" spans="1:20" x14ac:dyDescent="0.35">
      <c r="A84" s="106"/>
      <c r="B84"/>
      <c r="C84" s="85" t="s">
        <v>386</v>
      </c>
      <c r="D84" s="299"/>
      <c r="E84" s="299"/>
      <c r="F84" s="8">
        <f t="shared" si="3"/>
        <v>4520528.0274121054</v>
      </c>
      <c r="G84" s="159"/>
      <c r="H84" s="106"/>
    </row>
    <row r="85" spans="1:20" x14ac:dyDescent="0.35">
      <c r="A85" s="106"/>
      <c r="B85"/>
      <c r="C85" s="16"/>
      <c r="D85" s="162"/>
      <c r="E85" s="162"/>
      <c r="F85" s="159"/>
      <c r="G85" s="159"/>
      <c r="H85" s="106"/>
    </row>
    <row r="86" spans="1:20" ht="15.5" x14ac:dyDescent="0.35">
      <c r="A86" s="106"/>
      <c r="B86"/>
      <c r="C86" s="439" t="s">
        <v>193</v>
      </c>
      <c r="D86" s="439"/>
      <c r="E86" s="439"/>
      <c r="F86" s="439"/>
      <c r="G86" s="159"/>
      <c r="H86" s="106"/>
    </row>
    <row r="87" spans="1:20" ht="15" thickBot="1" x14ac:dyDescent="0.4">
      <c r="A87" s="106"/>
      <c r="B87"/>
      <c r="C87" s="131" t="s">
        <v>194</v>
      </c>
      <c r="D87" s="131"/>
      <c r="E87" s="131"/>
      <c r="F87" s="131"/>
      <c r="G87" s="159"/>
      <c r="H87" s="106"/>
    </row>
    <row r="88" spans="1:20" x14ac:dyDescent="0.35">
      <c r="A88" s="106"/>
      <c r="B88" s="84"/>
      <c r="C88" s="167" t="s">
        <v>54</v>
      </c>
      <c r="D88" s="288"/>
      <c r="E88" s="286"/>
      <c r="F88" s="145">
        <f>(((F49/60)*F32*F8)-(((F8*F32)-F43)*(F50/60)))</f>
        <v>5896.5597571448743</v>
      </c>
      <c r="G88" s="59"/>
      <c r="H88" s="106"/>
    </row>
    <row r="89" spans="1:20" ht="15" thickBot="1" x14ac:dyDescent="0.4">
      <c r="A89" s="106"/>
      <c r="B89" s="84"/>
      <c r="C89" s="168" t="s">
        <v>11</v>
      </c>
      <c r="D89" s="289"/>
      <c r="E89" s="287"/>
      <c r="F89" s="147">
        <f>(F40*F18)+(F41*F21)+(F42*F24)</f>
        <v>157414.53954997449</v>
      </c>
      <c r="G89" s="59"/>
      <c r="H89" s="106"/>
    </row>
    <row r="90" spans="1:20" x14ac:dyDescent="0.35">
      <c r="A90" s="106"/>
      <c r="B90"/>
      <c r="C90" s="164"/>
      <c r="D90" s="160"/>
      <c r="E90" s="160"/>
      <c r="F90" s="160"/>
      <c r="G90" s="150"/>
      <c r="H90" s="106"/>
    </row>
    <row r="91" spans="1:20" ht="15" thickBot="1" x14ac:dyDescent="0.4">
      <c r="A91" s="106"/>
      <c r="B91"/>
      <c r="C91" s="318" t="s">
        <v>202</v>
      </c>
      <c r="D91"/>
      <c r="E91"/>
      <c r="F91"/>
      <c r="G91"/>
      <c r="H91" s="106"/>
    </row>
    <row r="92" spans="1:20" x14ac:dyDescent="0.35">
      <c r="A92" s="106"/>
      <c r="B92"/>
      <c r="C92" s="338" t="s">
        <v>479</v>
      </c>
      <c r="D92" s="380"/>
      <c r="E92" s="380"/>
      <c r="F92" s="364">
        <f>(F70-F78)/1000</f>
        <v>40677.723917711141</v>
      </c>
      <c r="G92" s="155"/>
      <c r="H92" s="106"/>
    </row>
    <row r="93" spans="1:20" x14ac:dyDescent="0.35">
      <c r="A93" s="106"/>
      <c r="B93"/>
      <c r="C93" s="342" t="s">
        <v>488</v>
      </c>
      <c r="D93" s="381"/>
      <c r="E93" s="381"/>
      <c r="F93" s="365">
        <f t="shared" ref="F93:F98" si="4">(F71-F79)/1000</f>
        <v>13.044738220815431</v>
      </c>
      <c r="G93" s="155" t="s">
        <v>511</v>
      </c>
      <c r="H93" s="106"/>
      <c r="P93" s="225"/>
      <c r="Q93" s="230"/>
      <c r="R93" s="226"/>
      <c r="S93" s="226"/>
    </row>
    <row r="94" spans="1:20" x14ac:dyDescent="0.35">
      <c r="A94" s="106"/>
      <c r="B94"/>
      <c r="C94" s="342" t="s">
        <v>489</v>
      </c>
      <c r="D94" s="381"/>
      <c r="E94" s="381"/>
      <c r="F94" s="365">
        <f t="shared" si="4"/>
        <v>0.35308388707563426</v>
      </c>
      <c r="G94" s="155" t="s">
        <v>511</v>
      </c>
      <c r="H94" s="106"/>
      <c r="Q94" s="227"/>
      <c r="R94" s="227"/>
      <c r="S94" s="227"/>
    </row>
    <row r="95" spans="1:20" x14ac:dyDescent="0.35">
      <c r="A95" s="106"/>
      <c r="B95"/>
      <c r="C95" s="342" t="s">
        <v>464</v>
      </c>
      <c r="D95" s="381"/>
      <c r="E95" s="381"/>
      <c r="F95" s="365">
        <f t="shared" si="4"/>
        <v>12.872664704157534</v>
      </c>
      <c r="G95" s="155"/>
      <c r="H95" s="106"/>
      <c r="Q95" s="227"/>
      <c r="R95" s="227"/>
      <c r="S95" s="227"/>
    </row>
    <row r="96" spans="1:20" x14ac:dyDescent="0.35">
      <c r="A96" s="106"/>
      <c r="B96"/>
      <c r="C96" s="342" t="s">
        <v>465</v>
      </c>
      <c r="D96" s="381"/>
      <c r="E96" s="381"/>
      <c r="F96" s="365">
        <f t="shared" si="4"/>
        <v>13.403745183272607</v>
      </c>
      <c r="G96" s="155"/>
      <c r="H96" s="106"/>
      <c r="Q96" s="228"/>
      <c r="R96" s="229"/>
      <c r="S96" s="228"/>
    </row>
    <row r="97" spans="1:25" x14ac:dyDescent="0.35">
      <c r="A97" s="106"/>
      <c r="B97"/>
      <c r="C97" s="342" t="s">
        <v>466</v>
      </c>
      <c r="D97" s="381"/>
      <c r="E97" s="381"/>
      <c r="F97" s="365">
        <f t="shared" si="4"/>
        <v>0.27678107369570809</v>
      </c>
      <c r="G97" s="155"/>
      <c r="H97" s="106"/>
      <c r="Q97" s="228"/>
      <c r="R97" s="229"/>
      <c r="S97" s="228"/>
    </row>
    <row r="98" spans="1:25" ht="15" thickBot="1" x14ac:dyDescent="0.4">
      <c r="A98" s="106"/>
      <c r="B98"/>
      <c r="C98" s="343" t="s">
        <v>467</v>
      </c>
      <c r="D98" s="382"/>
      <c r="E98" s="382"/>
      <c r="F98" s="366">
        <f t="shared" si="4"/>
        <v>266.98003102294075</v>
      </c>
      <c r="G98" s="155"/>
      <c r="H98" s="106"/>
      <c r="Q98" s="228"/>
      <c r="R98" s="229"/>
      <c r="S98" s="228"/>
    </row>
    <row r="99" spans="1:25" x14ac:dyDescent="0.35">
      <c r="A99" s="106"/>
      <c r="B99"/>
      <c r="C99" s="344" t="s">
        <v>480</v>
      </c>
      <c r="D99" s="380"/>
      <c r="E99" s="380"/>
      <c r="F99" s="337">
        <f>(F92)/$F$32</f>
        <v>203.38861958855571</v>
      </c>
      <c r="G99" s="66"/>
      <c r="H99" s="106"/>
      <c r="Q99" s="228"/>
      <c r="R99" s="229"/>
      <c r="S99" s="228"/>
    </row>
    <row r="100" spans="1:25" x14ac:dyDescent="0.35">
      <c r="A100" s="106"/>
      <c r="B100"/>
      <c r="C100" s="345" t="s">
        <v>469</v>
      </c>
      <c r="D100" s="381"/>
      <c r="E100" s="381"/>
      <c r="F100" s="327">
        <f t="shared" ref="F100:F105" si="5">(F93)/$F$32</f>
        <v>6.522369110407715E-2</v>
      </c>
      <c r="G100" s="66"/>
      <c r="H100" s="106"/>
      <c r="Q100" s="228"/>
      <c r="R100" s="229"/>
      <c r="S100" s="228"/>
    </row>
    <row r="101" spans="1:25" x14ac:dyDescent="0.35">
      <c r="A101" s="106"/>
      <c r="B101"/>
      <c r="C101" s="345" t="s">
        <v>470</v>
      </c>
      <c r="D101" s="381"/>
      <c r="E101" s="381"/>
      <c r="F101" s="327">
        <f t="shared" si="5"/>
        <v>1.7654194353781713E-3</v>
      </c>
      <c r="G101"/>
      <c r="H101" s="106"/>
    </row>
    <row r="102" spans="1:25" x14ac:dyDescent="0.35">
      <c r="A102" s="106"/>
      <c r="B102"/>
      <c r="C102" s="345" t="s">
        <v>490</v>
      </c>
      <c r="D102" s="381"/>
      <c r="E102" s="381"/>
      <c r="F102" s="327">
        <f t="shared" si="5"/>
        <v>6.4363323520787677E-2</v>
      </c>
      <c r="G102" s="155" t="s">
        <v>511</v>
      </c>
      <c r="H102" s="106"/>
    </row>
    <row r="103" spans="1:25" x14ac:dyDescent="0.35">
      <c r="A103" s="106"/>
      <c r="B103"/>
      <c r="C103" s="345" t="s">
        <v>491</v>
      </c>
      <c r="D103" s="381"/>
      <c r="E103" s="381"/>
      <c r="F103" s="327">
        <f t="shared" si="5"/>
        <v>6.7018725916363028E-2</v>
      </c>
      <c r="G103" s="155" t="s">
        <v>511</v>
      </c>
      <c r="H103" s="106"/>
    </row>
    <row r="104" spans="1:25" x14ac:dyDescent="0.35">
      <c r="A104" s="106"/>
      <c r="B104"/>
      <c r="C104" s="345" t="s">
        <v>471</v>
      </c>
      <c r="D104" s="381"/>
      <c r="E104" s="381"/>
      <c r="F104" s="327">
        <f t="shared" si="5"/>
        <v>1.3839053684785404E-3</v>
      </c>
      <c r="G104"/>
      <c r="H104" s="106"/>
    </row>
    <row r="105" spans="1:25" ht="15" thickBot="1" x14ac:dyDescent="0.4">
      <c r="A105" s="106"/>
      <c r="B105"/>
      <c r="C105" s="379" t="s">
        <v>492</v>
      </c>
      <c r="D105" s="382"/>
      <c r="E105" s="382"/>
      <c r="F105" s="393">
        <f t="shared" si="5"/>
        <v>1.3349001551147037</v>
      </c>
      <c r="G105" s="155" t="s">
        <v>511</v>
      </c>
      <c r="H105" s="106"/>
    </row>
    <row r="106" spans="1:25" ht="15" thickBot="1" x14ac:dyDescent="0.4">
      <c r="A106" s="106"/>
      <c r="B106"/>
      <c r="C106" s="154"/>
      <c r="D106" s="143"/>
      <c r="E106" s="143"/>
      <c r="F106" s="143"/>
      <c r="G106" s="143"/>
      <c r="H106" s="106"/>
      <c r="L106" s="217"/>
      <c r="M106" s="218"/>
    </row>
    <row r="107" spans="1:25" s="94" customFormat="1" x14ac:dyDescent="0.35">
      <c r="A107" s="106"/>
      <c r="B107"/>
      <c r="C107" s="338" t="s">
        <v>472</v>
      </c>
      <c r="D107" s="329"/>
      <c r="E107" s="329"/>
      <c r="F107" s="324">
        <v>5212260</v>
      </c>
      <c r="G107"/>
      <c r="H107" s="106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</row>
    <row r="108" spans="1:25" s="94" customFormat="1" x14ac:dyDescent="0.35">
      <c r="A108" s="106"/>
      <c r="B108"/>
      <c r="C108" s="342" t="s">
        <v>473</v>
      </c>
      <c r="D108" s="328"/>
      <c r="E108" s="328"/>
      <c r="F108" s="369">
        <v>20</v>
      </c>
      <c r="G108"/>
      <c r="H108" s="106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</row>
    <row r="109" spans="1:25" s="94" customFormat="1" x14ac:dyDescent="0.35">
      <c r="A109" s="106"/>
      <c r="B109"/>
      <c r="C109" s="342" t="s">
        <v>493</v>
      </c>
      <c r="D109" s="328"/>
      <c r="E109" s="328"/>
      <c r="F109" s="370">
        <f>(F$107/F$108)/F93</f>
        <v>19978.400147895725</v>
      </c>
      <c r="G109" s="155" t="s">
        <v>511</v>
      </c>
      <c r="H109" s="106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</row>
    <row r="110" spans="1:25" s="94" customFormat="1" x14ac:dyDescent="0.35">
      <c r="A110" s="106"/>
      <c r="B110"/>
      <c r="C110" s="342" t="s">
        <v>494</v>
      </c>
      <c r="D110" s="328"/>
      <c r="E110" s="328"/>
      <c r="F110" s="370">
        <f>(F$107/F$108)/F94</f>
        <v>738105.04964836861</v>
      </c>
      <c r="G110" s="155" t="s">
        <v>511</v>
      </c>
      <c r="H110" s="106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</row>
    <row r="111" spans="1:25" s="94" customFormat="1" x14ac:dyDescent="0.35">
      <c r="A111" s="106"/>
      <c r="B111"/>
      <c r="C111" s="342" t="s">
        <v>495</v>
      </c>
      <c r="D111" s="328"/>
      <c r="E111" s="328"/>
      <c r="F111" s="370">
        <f>((F$107/F$108)/$F$32)/$F102</f>
        <v>20245.458573610544</v>
      </c>
      <c r="G111" s="155" t="s">
        <v>511</v>
      </c>
      <c r="H111" s="106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</row>
    <row r="112" spans="1:25" s="94" customFormat="1" x14ac:dyDescent="0.35">
      <c r="A112" s="106"/>
      <c r="B112"/>
      <c r="C112" s="342" t="s">
        <v>496</v>
      </c>
      <c r="D112" s="328"/>
      <c r="E112" s="328"/>
      <c r="F112" s="370">
        <f>((F$107/F$108)/$F$32)/$F103</f>
        <v>19443.29711111158</v>
      </c>
      <c r="G112" s="155" t="s">
        <v>511</v>
      </c>
      <c r="H112" s="106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</row>
    <row r="113" spans="1:25" s="94" customFormat="1" ht="15" thickBot="1" x14ac:dyDescent="0.4">
      <c r="A113" s="106"/>
      <c r="B113"/>
      <c r="C113" s="343" t="s">
        <v>497</v>
      </c>
      <c r="D113" s="330"/>
      <c r="E113" s="330"/>
      <c r="F113" s="371">
        <f>((F$107/F$108)/$F$32)/$F105</f>
        <v>976.15165823996165</v>
      </c>
      <c r="G113" s="155" t="s">
        <v>511</v>
      </c>
      <c r="H113" s="106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</row>
    <row r="114" spans="1:25" x14ac:dyDescent="0.35">
      <c r="A114" s="106"/>
      <c r="B114"/>
      <c r="C114" s="164"/>
      <c r="D114" s="160"/>
      <c r="E114" s="160"/>
      <c r="F114" s="160"/>
      <c r="G114" s="150"/>
      <c r="H114" s="106"/>
    </row>
    <row r="115" spans="1:25" s="94" customFormat="1" x14ac:dyDescent="0.35">
      <c r="A115" s="106"/>
      <c r="B115" s="106"/>
      <c r="C115" s="106"/>
      <c r="D115" s="106"/>
      <c r="E115" s="106"/>
      <c r="F115" s="106"/>
      <c r="G115" s="106"/>
      <c r="H115" s="106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</row>
  </sheetData>
  <mergeCells count="6">
    <mergeCell ref="C86:F86"/>
    <mergeCell ref="C2:F2"/>
    <mergeCell ref="C3:F3"/>
    <mergeCell ref="C5:F5"/>
    <mergeCell ref="C28:F28"/>
    <mergeCell ref="C38:F38"/>
  </mergeCells>
  <dataValidations count="1">
    <dataValidation type="list" allowBlank="1" showInputMessage="1" showErrorMessage="1" sqref="G6" xr:uid="{00000000-0002-0000-0800-000000000000}">
      <formula1>$Y$3:$Y$12</formula1>
    </dataValidation>
  </dataValidations>
  <printOptions headings="1" gridLines="1"/>
  <pageMargins left="0.7" right="0.7" top="0.75" bottom="0.75" header="0.3" footer="0.3"/>
  <pageSetup paperSize="17" scale="6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1000000}">
          <x14:formula1>
            <xm:f>OtherVariables!$A$135:$A$136</xm:f>
          </x14:formula1>
          <xm:sqref>F23 F20 F17 F13</xm:sqref>
        </x14:dataValidation>
        <x14:dataValidation type="list" allowBlank="1" showInputMessage="1" showErrorMessage="1" xr:uid="{00000000-0002-0000-0800-000002000000}">
          <x14:formula1>
            <xm:f>OtherVariables!$B$75:$B$78</xm:f>
          </x14:formula1>
          <xm:sqref>G14:G15</xm:sqref>
        </x14:dataValidation>
        <x14:dataValidation type="list" allowBlank="1" showInputMessage="1" showErrorMessage="1" xr:uid="{00000000-0002-0000-0800-000003000000}">
          <x14:formula1>
            <xm:f>OtherVariables!$A$82:$A$83</xm:f>
          </x14:formula1>
          <xm:sqref>F26</xm:sqref>
        </x14:dataValidation>
        <x14:dataValidation type="list" allowBlank="1" showInputMessage="1" showErrorMessage="1" xr:uid="{00000000-0002-0000-0800-000004000000}">
          <x14:formula1>
            <xm:f>OtherVariables!$P$24:$P$39</xm:f>
          </x14:formula1>
          <xm:sqref>F7</xm:sqref>
        </x14:dataValidation>
        <x14:dataValidation type="list" allowBlank="1" showInputMessage="1" showErrorMessage="1" xr:uid="{00000000-0002-0000-0800-000005000000}">
          <x14:formula1>
            <xm:f>OtherVariables!$I$14:$I$18</xm:f>
          </x14:formula1>
          <xm:sqref>F15</xm:sqref>
        </x14:dataValidation>
        <x14:dataValidation type="list" allowBlank="1" showInputMessage="1" showErrorMessage="1" xr:uid="{00000000-0002-0000-0800-000006000000}">
          <x14:formula1>
            <xm:f>OtherVariables!$B$121:$B$125</xm:f>
          </x14:formula1>
          <xm:sqref>F14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AB121"/>
  <sheetViews>
    <sheetView showGridLines="0" topLeftCell="A89" zoomScale="85" zoomScaleNormal="85" workbookViewId="0">
      <selection activeCell="F41" sqref="F41"/>
    </sheetView>
  </sheetViews>
  <sheetFormatPr defaultColWidth="9.08984375" defaultRowHeight="14.5" x14ac:dyDescent="0.35"/>
  <cols>
    <col min="1" max="1" width="2.54296875" style="78" customWidth="1"/>
    <col min="2" max="2" width="2.08984375" style="78" customWidth="1"/>
    <col min="3" max="3" width="80.54296875" style="166" customWidth="1"/>
    <col min="4" max="5" width="16.453125" style="78" hidden="1" customWidth="1"/>
    <col min="6" max="6" width="24.453125" style="78" bestFit="1" customWidth="1"/>
    <col min="7" max="7" width="6.90625" style="78" customWidth="1"/>
    <col min="8" max="8" width="2.453125" style="78" customWidth="1"/>
    <col min="9" max="9" width="35.54296875" style="170" bestFit="1" customWidth="1"/>
    <col min="10" max="11" width="10.08984375" style="170" customWidth="1"/>
    <col min="12" max="12" width="10" style="170" customWidth="1"/>
    <col min="13" max="15" width="9.08984375" style="170"/>
    <col min="16" max="16" width="9.54296875" style="170" bestFit="1" customWidth="1"/>
    <col min="17" max="25" width="9.08984375" style="170"/>
    <col min="26" max="27" width="9.08984375" style="94"/>
    <col min="28" max="28" width="20.453125" style="94" bestFit="1" customWidth="1"/>
    <col min="29" max="16384" width="9.08984375" style="94"/>
  </cols>
  <sheetData>
    <row r="1" spans="1:28" ht="12.75" customHeight="1" x14ac:dyDescent="0.35">
      <c r="A1" s="106"/>
      <c r="B1" s="106"/>
      <c r="C1" s="106"/>
      <c r="D1" s="106"/>
      <c r="E1" s="106"/>
      <c r="F1" s="106"/>
      <c r="G1" s="106"/>
      <c r="H1" s="106"/>
    </row>
    <row r="2" spans="1:28" ht="10.5" customHeight="1" x14ac:dyDescent="0.35">
      <c r="A2" s="106"/>
      <c r="B2" s="118"/>
      <c r="C2" s="440"/>
      <c r="D2" s="440"/>
      <c r="E2" s="440"/>
      <c r="F2" s="440"/>
      <c r="G2" s="118"/>
      <c r="H2" s="106"/>
    </row>
    <row r="3" spans="1:28" ht="26" x14ac:dyDescent="0.35">
      <c r="A3" s="106"/>
      <c r="B3"/>
      <c r="C3" s="441" t="s">
        <v>235</v>
      </c>
      <c r="D3" s="441"/>
      <c r="E3" s="441"/>
      <c r="F3" s="441"/>
      <c r="G3" s="102"/>
      <c r="H3" s="106"/>
    </row>
    <row r="4" spans="1:28" x14ac:dyDescent="0.35">
      <c r="A4" s="106"/>
      <c r="B4"/>
      <c r="C4" s="1"/>
      <c r="D4"/>
      <c r="E4"/>
      <c r="F4"/>
      <c r="G4"/>
      <c r="H4" s="106"/>
      <c r="AB4" s="191"/>
    </row>
    <row r="5" spans="1:28" ht="15.5" x14ac:dyDescent="0.35">
      <c r="A5" s="106"/>
      <c r="B5"/>
      <c r="C5" s="442" t="s">
        <v>196</v>
      </c>
      <c r="D5" s="442"/>
      <c r="E5" s="442"/>
      <c r="F5" s="442"/>
      <c r="G5" s="27"/>
      <c r="H5" s="106"/>
      <c r="AB5" s="191"/>
    </row>
    <row r="6" spans="1:28" ht="15.5" x14ac:dyDescent="0.35">
      <c r="A6" s="106"/>
      <c r="B6"/>
      <c r="C6" s="128" t="s">
        <v>199</v>
      </c>
      <c r="D6" s="119"/>
      <c r="E6" s="118"/>
      <c r="F6" s="128" t="s">
        <v>200</v>
      </c>
      <c r="G6" s="92"/>
      <c r="H6" s="106"/>
      <c r="AB6" s="191"/>
    </row>
    <row r="7" spans="1:28" x14ac:dyDescent="0.35">
      <c r="A7" s="106"/>
      <c r="B7"/>
      <c r="C7" s="81" t="s">
        <v>203</v>
      </c>
      <c r="D7" s="45">
        <v>2025</v>
      </c>
      <c r="E7" s="45">
        <v>2035</v>
      </c>
      <c r="F7" s="45">
        <v>2030</v>
      </c>
      <c r="G7" s="108"/>
      <c r="H7" s="106"/>
      <c r="AB7" s="191"/>
    </row>
    <row r="8" spans="1:28" x14ac:dyDescent="0.35">
      <c r="A8" s="106"/>
      <c r="B8"/>
      <c r="C8" s="139" t="s">
        <v>23</v>
      </c>
      <c r="D8" s="29"/>
      <c r="E8" s="29"/>
      <c r="F8" s="29">
        <v>2</v>
      </c>
      <c r="G8" s="108"/>
      <c r="H8" s="106"/>
      <c r="AB8" s="191"/>
    </row>
    <row r="9" spans="1:28" x14ac:dyDescent="0.35">
      <c r="A9" s="106"/>
      <c r="B9"/>
      <c r="C9"/>
      <c r="D9" s="67"/>
      <c r="E9" s="67"/>
      <c r="F9" s="67"/>
      <c r="G9" s="108"/>
      <c r="H9" s="106"/>
      <c r="AB9" s="191"/>
    </row>
    <row r="10" spans="1:28" x14ac:dyDescent="0.35">
      <c r="A10" s="106"/>
      <c r="B10"/>
      <c r="C10" s="139" t="s">
        <v>234</v>
      </c>
      <c r="D10" s="28"/>
      <c r="E10" s="28"/>
      <c r="F10" s="28">
        <v>8391</v>
      </c>
      <c r="G10" s="161"/>
      <c r="H10" s="106"/>
      <c r="AB10" s="191"/>
    </row>
    <row r="11" spans="1:28" x14ac:dyDescent="0.35">
      <c r="A11" s="106"/>
      <c r="B11"/>
      <c r="C11" s="139" t="s">
        <v>56</v>
      </c>
      <c r="D11" s="28"/>
      <c r="E11" s="28"/>
      <c r="F11" s="28">
        <v>1500</v>
      </c>
      <c r="G11" s="161"/>
      <c r="H11" s="106"/>
      <c r="AB11" s="191"/>
    </row>
    <row r="12" spans="1:28" x14ac:dyDescent="0.35">
      <c r="A12" s="106"/>
      <c r="B12"/>
      <c r="C12" s="139" t="s">
        <v>61</v>
      </c>
      <c r="D12" s="28"/>
      <c r="E12" s="28"/>
      <c r="F12" s="28">
        <v>35</v>
      </c>
      <c r="G12" s="161"/>
      <c r="H12" s="106"/>
    </row>
    <row r="13" spans="1:28" x14ac:dyDescent="0.35">
      <c r="A13" s="106"/>
      <c r="B13"/>
      <c r="C13" s="139" t="s">
        <v>112</v>
      </c>
      <c r="D13" s="28"/>
      <c r="E13" s="28"/>
      <c r="F13" s="30">
        <v>7</v>
      </c>
      <c r="G13" s="108"/>
      <c r="H13" s="106"/>
      <c r="K13" s="216"/>
    </row>
    <row r="14" spans="1:28" x14ac:dyDescent="0.35">
      <c r="A14" s="106"/>
      <c r="B14"/>
      <c r="C14" s="139" t="s">
        <v>25</v>
      </c>
      <c r="D14" s="28"/>
      <c r="E14" s="28"/>
      <c r="F14" s="32" t="s">
        <v>21</v>
      </c>
      <c r="G14" s="143"/>
      <c r="H14" s="106"/>
      <c r="K14" s="216"/>
    </row>
    <row r="15" spans="1:28" x14ac:dyDescent="0.35">
      <c r="A15" s="106"/>
      <c r="B15"/>
      <c r="C15" s="139" t="s">
        <v>451</v>
      </c>
      <c r="D15" s="310"/>
      <c r="E15" s="310"/>
      <c r="F15" s="30" t="s">
        <v>360</v>
      </c>
      <c r="G15" s="108"/>
      <c r="H15" s="106"/>
      <c r="AB15" s="191"/>
    </row>
    <row r="16" spans="1:28" x14ac:dyDescent="0.35">
      <c r="A16" s="106"/>
      <c r="B16"/>
      <c r="C16" s="466" t="s">
        <v>107</v>
      </c>
      <c r="D16" s="466"/>
      <c r="E16" s="466"/>
      <c r="F16" s="466"/>
      <c r="G16" s="137"/>
      <c r="H16" s="106"/>
      <c r="AB16" s="191"/>
    </row>
    <row r="17" spans="1:28" x14ac:dyDescent="0.35">
      <c r="A17" s="106"/>
      <c r="B17"/>
      <c r="C17" s="139" t="s">
        <v>233</v>
      </c>
      <c r="D17" s="28">
        <f>F17</f>
        <v>0</v>
      </c>
      <c r="E17" s="28">
        <f>F17</f>
        <v>0</v>
      </c>
      <c r="F17" s="28"/>
      <c r="G17" s="161"/>
      <c r="H17" s="106"/>
      <c r="AB17" s="191"/>
    </row>
    <row r="18" spans="1:28" x14ac:dyDescent="0.35">
      <c r="A18" s="106"/>
      <c r="B18"/>
      <c r="C18" s="139" t="s">
        <v>406</v>
      </c>
      <c r="D18" s="28"/>
      <c r="E18" s="28"/>
      <c r="F18" s="28"/>
      <c r="G18" s="161"/>
      <c r="H18" s="106"/>
      <c r="AB18" s="191"/>
    </row>
    <row r="19" spans="1:28" x14ac:dyDescent="0.35">
      <c r="A19" s="106"/>
      <c r="B19"/>
      <c r="C19" s="128" t="s">
        <v>117</v>
      </c>
      <c r="D19" s="92"/>
      <c r="E19" s="92"/>
      <c r="F19" s="92"/>
      <c r="G19" s="92"/>
      <c r="H19" s="106"/>
      <c r="AB19" s="191"/>
    </row>
    <row r="20" spans="1:28" x14ac:dyDescent="0.35">
      <c r="A20" s="106"/>
      <c r="B20"/>
      <c r="C20" s="86" t="s">
        <v>119</v>
      </c>
      <c r="D20" s="32"/>
      <c r="E20" s="32"/>
      <c r="F20" s="32" t="s">
        <v>21</v>
      </c>
      <c r="G20" s="143"/>
      <c r="H20" s="106"/>
      <c r="AB20" s="191"/>
    </row>
    <row r="21" spans="1:28" x14ac:dyDescent="0.35">
      <c r="A21" s="106"/>
      <c r="B21"/>
      <c r="C21" s="86" t="s">
        <v>300</v>
      </c>
      <c r="D21" s="31"/>
      <c r="E21" s="31"/>
      <c r="F21" s="31">
        <v>1.8</v>
      </c>
      <c r="G21" s="153"/>
      <c r="H21" s="106"/>
      <c r="I21" s="243"/>
      <c r="AB21" s="191"/>
    </row>
    <row r="22" spans="1:28" x14ac:dyDescent="0.35">
      <c r="A22" s="106"/>
      <c r="B22"/>
      <c r="C22" s="128" t="s">
        <v>118</v>
      </c>
      <c r="D22" s="92"/>
      <c r="E22" s="92"/>
      <c r="F22" s="92"/>
      <c r="G22" s="92"/>
      <c r="H22" s="106"/>
      <c r="AB22" s="191"/>
    </row>
    <row r="23" spans="1:28" x14ac:dyDescent="0.35">
      <c r="A23" s="106"/>
      <c r="B23"/>
      <c r="C23" s="86" t="s">
        <v>119</v>
      </c>
      <c r="D23" s="32"/>
      <c r="E23" s="32"/>
      <c r="F23" s="32" t="s">
        <v>21</v>
      </c>
      <c r="G23" s="143"/>
      <c r="H23" s="106"/>
      <c r="AB23" s="191"/>
    </row>
    <row r="24" spans="1:28" x14ac:dyDescent="0.35">
      <c r="A24" s="106"/>
      <c r="B24"/>
      <c r="C24" s="86" t="s">
        <v>301</v>
      </c>
      <c r="D24" s="31"/>
      <c r="E24" s="31"/>
      <c r="F24" s="31">
        <v>0.98</v>
      </c>
      <c r="G24" s="153"/>
      <c r="H24" s="106"/>
      <c r="K24" s="216"/>
    </row>
    <row r="25" spans="1:28" x14ac:dyDescent="0.35">
      <c r="A25" s="106"/>
      <c r="B25"/>
      <c r="C25" s="3"/>
      <c r="D25"/>
      <c r="E25"/>
      <c r="F25"/>
      <c r="G25"/>
      <c r="H25" s="106"/>
      <c r="K25" s="216"/>
    </row>
    <row r="26" spans="1:28" ht="15.5" x14ac:dyDescent="0.35">
      <c r="A26" s="106"/>
      <c r="B26"/>
      <c r="C26" s="442" t="s">
        <v>195</v>
      </c>
      <c r="D26" s="442"/>
      <c r="E26" s="442"/>
      <c r="F26" s="442"/>
      <c r="G26"/>
      <c r="H26" s="106"/>
      <c r="L26" s="217"/>
      <c r="M26" s="218"/>
    </row>
    <row r="27" spans="1:28" x14ac:dyDescent="0.35">
      <c r="A27" s="106"/>
      <c r="B27"/>
      <c r="C27" s="50" t="s">
        <v>1</v>
      </c>
      <c r="D27"/>
      <c r="E27"/>
      <c r="F27"/>
      <c r="G27"/>
      <c r="H27" s="106"/>
      <c r="L27" s="217"/>
      <c r="M27" s="218"/>
    </row>
    <row r="28" spans="1:28" x14ac:dyDescent="0.35">
      <c r="A28" s="106"/>
      <c r="B28"/>
      <c r="C28" s="81" t="s">
        <v>12</v>
      </c>
      <c r="D28" s="5"/>
      <c r="E28" s="5"/>
      <c r="F28" s="5">
        <f>IF(F13&gt;3,IF(F13&gt;6,OtherVariables!$C$115,OtherVariables!$C$114),OtherVariables!$C$113)</f>
        <v>1.5E-3</v>
      </c>
      <c r="G28" s="148"/>
      <c r="H28" s="106"/>
    </row>
    <row r="29" spans="1:28" x14ac:dyDescent="0.35">
      <c r="A29" s="106"/>
      <c r="B29"/>
      <c r="C29" s="81" t="s">
        <v>10</v>
      </c>
      <c r="D29" s="5"/>
      <c r="E29" s="5"/>
      <c r="F29" s="5">
        <f>IF(F14="N",INDEX(OtherVariables!$B$105:$E$107,IF(F10&lt;OtherVariables!$B$105,1,IF(F10&lt;OtherVariables!$B$106,2,3)),IF(F8&lt;1,2,IF(F8&lt;2,3,4))),INDEX(OtherVariables!$H$105:$K$107,IF(F10&lt;OtherVariables!$B$105,1,IF(F10&lt;OtherVariables!$B$106,2,3)),IF(F8&lt;1,2,IF(F8&lt;2,3,4))))</f>
        <v>2.07E-2</v>
      </c>
      <c r="G29" s="148"/>
      <c r="H29" s="106"/>
    </row>
    <row r="30" spans="1:28" x14ac:dyDescent="0.35">
      <c r="A30" s="106"/>
      <c r="B30"/>
      <c r="C30" s="81" t="s">
        <v>24</v>
      </c>
      <c r="D30" s="5"/>
      <c r="E30" s="5"/>
      <c r="F30" s="5">
        <v>0.91</v>
      </c>
      <c r="G30" s="148"/>
      <c r="H30" s="106"/>
    </row>
    <row r="31" spans="1:28" x14ac:dyDescent="0.35">
      <c r="A31" s="106"/>
      <c r="B31"/>
      <c r="C31" s="81" t="s">
        <v>51</v>
      </c>
      <c r="D31" s="12"/>
      <c r="E31" s="12"/>
      <c r="F31" s="12">
        <v>250</v>
      </c>
      <c r="G31" s="152"/>
      <c r="H31" s="106"/>
    </row>
    <row r="32" spans="1:28" x14ac:dyDescent="0.35">
      <c r="A32" s="106"/>
      <c r="B32"/>
      <c r="C32" s="81" t="s">
        <v>57</v>
      </c>
      <c r="D32" s="34"/>
      <c r="E32" s="34"/>
      <c r="F32" s="34">
        <v>0.1</v>
      </c>
      <c r="G32" s="146"/>
      <c r="H32" s="106"/>
    </row>
    <row r="33" spans="1:8" x14ac:dyDescent="0.35">
      <c r="A33" s="106"/>
      <c r="B33"/>
      <c r="C33" s="81" t="s">
        <v>120</v>
      </c>
      <c r="D33" s="62"/>
      <c r="E33" s="62"/>
      <c r="F33" s="62">
        <f>VLOOKUP(F15,OtherVariables!$J$87:$L$97,2,FALSE)</f>
        <v>1.1100000000000001</v>
      </c>
      <c r="G33" s="157"/>
      <c r="H33" s="106"/>
    </row>
    <row r="34" spans="1:8" x14ac:dyDescent="0.35">
      <c r="A34" s="106"/>
      <c r="B34"/>
      <c r="C34" s="81" t="s">
        <v>121</v>
      </c>
      <c r="D34" s="62"/>
      <c r="E34" s="62"/>
      <c r="F34" s="62">
        <f>VLOOKUP(F15,OtherVariables!$J$87:$L$97,3,FALSE)</f>
        <v>5</v>
      </c>
      <c r="G34" s="157"/>
      <c r="H34" s="106"/>
    </row>
    <row r="35" spans="1:8" x14ac:dyDescent="0.35">
      <c r="A35" s="106"/>
      <c r="B35"/>
      <c r="C35" s="81" t="s">
        <v>229</v>
      </c>
      <c r="D35" s="186"/>
      <c r="E35" s="186"/>
      <c r="F35" s="186">
        <v>0.11</v>
      </c>
      <c r="G35" s="188"/>
      <c r="H35" s="106"/>
    </row>
    <row r="36" spans="1:8" x14ac:dyDescent="0.35">
      <c r="A36" s="106"/>
      <c r="B36"/>
      <c r="C36" s="81" t="s">
        <v>230</v>
      </c>
      <c r="D36" s="186"/>
      <c r="E36" s="186"/>
      <c r="F36" s="186">
        <v>0.08</v>
      </c>
      <c r="G36" s="188"/>
      <c r="H36" s="106"/>
    </row>
    <row r="37" spans="1:8" x14ac:dyDescent="0.35">
      <c r="A37" s="106"/>
      <c r="B37"/>
      <c r="C37" s="50" t="s">
        <v>172</v>
      </c>
      <c r="D37"/>
      <c r="E37"/>
      <c r="F37"/>
      <c r="G37" s="148"/>
      <c r="H37" s="106"/>
    </row>
    <row r="38" spans="1:8" x14ac:dyDescent="0.35">
      <c r="A38" s="106"/>
      <c r="B38"/>
      <c r="C38" s="89" t="s">
        <v>167</v>
      </c>
      <c r="D38" s="61">
        <f>'2025ER'!I5</f>
        <v>291.52608307900914</v>
      </c>
      <c r="E38" s="61">
        <f>'2035ER'!I5</f>
        <v>160.82421620503999</v>
      </c>
      <c r="F38" s="54">
        <f>IF($F$7&gt;2035,E38,TREND(D38:E38,$D$7:$E$7,$F$7))</f>
        <v>226.17514964202564</v>
      </c>
      <c r="G38" s="189"/>
      <c r="H38" s="106"/>
    </row>
    <row r="39" spans="1:8" x14ac:dyDescent="0.35">
      <c r="A39" s="106"/>
      <c r="B39"/>
      <c r="C39" s="89" t="s">
        <v>168</v>
      </c>
      <c r="D39" s="61">
        <f>'2025ER'!I22</f>
        <v>0.13145466692786012</v>
      </c>
      <c r="E39" s="61">
        <f>'2035ER'!I22</f>
        <v>1.6214293245889414E-2</v>
      </c>
      <c r="F39" s="54">
        <f t="shared" ref="F39:F44" si="0">IF($F$7&gt;2035,E39,TREND(D39:E39,$D$7:$E$7,$F$7))</f>
        <v>7.38344800868731E-2</v>
      </c>
      <c r="G39" s="189"/>
      <c r="H39" s="106"/>
    </row>
    <row r="40" spans="1:8" x14ac:dyDescent="0.35">
      <c r="A40" s="106"/>
      <c r="B40"/>
      <c r="C40" s="89" t="s">
        <v>169</v>
      </c>
      <c r="D40" s="61">
        <f>'2025ER'!I39</f>
        <v>2.6350581764428382E-3</v>
      </c>
      <c r="E40" s="61">
        <f>'2035ER'!I39</f>
        <v>9.678746163788055E-4</v>
      </c>
      <c r="F40" s="54">
        <f t="shared" si="0"/>
        <v>1.8014663964108224E-3</v>
      </c>
      <c r="G40" s="189"/>
      <c r="H40" s="106"/>
    </row>
    <row r="41" spans="1:8" x14ac:dyDescent="0.35">
      <c r="A41" s="106"/>
      <c r="B41"/>
      <c r="C41" s="89" t="s">
        <v>170</v>
      </c>
      <c r="D41" s="61">
        <f>'2025ER'!I56</f>
        <v>0.12918463409807573</v>
      </c>
      <c r="E41" s="61">
        <f>'2035ER'!I56</f>
        <v>1.5995456495301826E-2</v>
      </c>
      <c r="F41" s="54">
        <f t="shared" si="0"/>
        <v>7.2590045296688999E-2</v>
      </c>
      <c r="G41" s="189"/>
      <c r="H41" s="106"/>
    </row>
    <row r="42" spans="1:8" x14ac:dyDescent="0.35">
      <c r="A42" s="106"/>
      <c r="B42"/>
      <c r="C42" s="89" t="s">
        <v>171</v>
      </c>
      <c r="D42" s="61">
        <f>'2025ER'!I73</f>
        <v>8.4787773979186035E-2</v>
      </c>
      <c r="E42" s="61">
        <f>'2035ER'!I73</f>
        <v>3.9150606520751904E-2</v>
      </c>
      <c r="F42" s="54">
        <f t="shared" si="0"/>
        <v>6.1969190249968165E-2</v>
      </c>
      <c r="G42" s="189"/>
      <c r="H42" s="106"/>
    </row>
    <row r="43" spans="1:8" x14ac:dyDescent="0.35">
      <c r="A43" s="106"/>
      <c r="B43"/>
      <c r="C43" s="89" t="s">
        <v>401</v>
      </c>
      <c r="D43" s="61">
        <f>'2025ER'!I90</f>
        <v>1.9839139389332865E-3</v>
      </c>
      <c r="E43" s="61">
        <f>'2035ER'!I90</f>
        <v>1.0963293678760368E-3</v>
      </c>
      <c r="F43" s="54">
        <f t="shared" si="0"/>
        <v>1.5401216534046691E-3</v>
      </c>
      <c r="G43" s="189"/>
      <c r="H43" s="106"/>
    </row>
    <row r="44" spans="1:8" x14ac:dyDescent="0.35">
      <c r="A44" s="106"/>
      <c r="B44"/>
      <c r="C44" s="89" t="s">
        <v>402</v>
      </c>
      <c r="D44" s="61">
        <f>'2025ER'!I107</f>
        <v>2.4444866254681359</v>
      </c>
      <c r="E44" s="61">
        <f>'2035ER'!I107</f>
        <v>1.093425148663719</v>
      </c>
      <c r="F44" s="54">
        <f t="shared" si="0"/>
        <v>1.7689558870659425</v>
      </c>
      <c r="G44" s="189"/>
      <c r="H44" s="106"/>
    </row>
    <row r="45" spans="1:8" x14ac:dyDescent="0.35">
      <c r="A45" s="106"/>
      <c r="B45"/>
      <c r="C45" s="136"/>
      <c r="D45" s="71"/>
      <c r="E45" s="71"/>
      <c r="F45" s="189"/>
      <c r="G45" s="189"/>
      <c r="H45" s="106"/>
    </row>
    <row r="46" spans="1:8" ht="15.5" x14ac:dyDescent="0.35">
      <c r="A46" s="106"/>
      <c r="B46"/>
      <c r="C46" s="442" t="s">
        <v>192</v>
      </c>
      <c r="D46" s="442"/>
      <c r="E46" s="442"/>
      <c r="F46" s="442"/>
      <c r="G46" s="7"/>
      <c r="H46" s="106"/>
    </row>
    <row r="47" spans="1:8" ht="15.5" x14ac:dyDescent="0.35">
      <c r="A47" s="106"/>
      <c r="B47"/>
      <c r="C47" s="120" t="s">
        <v>199</v>
      </c>
      <c r="D47" s="119"/>
      <c r="E47" s="118"/>
      <c r="F47" s="120" t="s">
        <v>198</v>
      </c>
      <c r="G47"/>
      <c r="H47" s="106"/>
    </row>
    <row r="48" spans="1:8" x14ac:dyDescent="0.35">
      <c r="A48" s="106"/>
      <c r="B48"/>
      <c r="C48" s="81" t="s">
        <v>303</v>
      </c>
      <c r="D48" s="9"/>
      <c r="E48" s="9"/>
      <c r="F48" s="9">
        <f>IF(F17&gt;0,"",IF(F20="Y",(F31*F10*(F28+F29)), 0))</f>
        <v>46570.05</v>
      </c>
      <c r="G48" s="18"/>
      <c r="H48" s="106"/>
    </row>
    <row r="49" spans="1:20" x14ac:dyDescent="0.35">
      <c r="A49" s="106"/>
      <c r="B49"/>
      <c r="C49" s="81" t="s">
        <v>306</v>
      </c>
      <c r="D49" s="9"/>
      <c r="E49" s="9"/>
      <c r="F49" s="9">
        <f>IF(F17&gt;0,"",IF(F23="Y",(F10*F30*(F28+F29))*F31,0))</f>
        <v>42378.745499999997</v>
      </c>
      <c r="G49" s="18"/>
      <c r="H49" s="106"/>
    </row>
    <row r="50" spans="1:20" x14ac:dyDescent="0.35">
      <c r="A50" s="106"/>
      <c r="B50"/>
      <c r="C50" s="81" t="s">
        <v>304</v>
      </c>
      <c r="D50" s="9"/>
      <c r="E50" s="9"/>
      <c r="F50" s="9">
        <f>IF(F17&gt;0,((F17*F35)+(F18*F36))*F31,SUM(F48:F49))</f>
        <v>88948.795500000007</v>
      </c>
      <c r="G50" s="18"/>
      <c r="H50" s="106"/>
    </row>
    <row r="51" spans="1:20" x14ac:dyDescent="0.35">
      <c r="A51" s="106"/>
      <c r="B51"/>
      <c r="C51" s="81" t="s">
        <v>305</v>
      </c>
      <c r="D51" s="9"/>
      <c r="E51" s="9"/>
      <c r="F51" s="9">
        <f>F50/F31</f>
        <v>355.79518200000001</v>
      </c>
      <c r="G51" s="18"/>
      <c r="H51" s="106"/>
    </row>
    <row r="52" spans="1:20" x14ac:dyDescent="0.35">
      <c r="A52" s="106"/>
      <c r="B52"/>
      <c r="C52" s="81" t="s">
        <v>59</v>
      </c>
      <c r="D52" s="9"/>
      <c r="E52" s="9"/>
      <c r="F52" s="9">
        <f>F51*F32</f>
        <v>35.579518200000003</v>
      </c>
      <c r="G52" s="18"/>
      <c r="H52" s="106"/>
    </row>
    <row r="53" spans="1:20" x14ac:dyDescent="0.35">
      <c r="A53" s="106"/>
      <c r="B53"/>
      <c r="C53" s="81" t="s">
        <v>62</v>
      </c>
      <c r="D53" s="43"/>
      <c r="E53" s="43"/>
      <c r="F53" s="43">
        <f>IF(F17&gt;0,"",F8*60/F12)</f>
        <v>3.4285714285714284</v>
      </c>
      <c r="G53" s="151"/>
      <c r="H53" s="106"/>
    </row>
    <row r="54" spans="1:20" x14ac:dyDescent="0.35">
      <c r="A54" s="106"/>
      <c r="B54"/>
      <c r="C54" s="81" t="s">
        <v>58</v>
      </c>
      <c r="D54" s="11"/>
      <c r="E54" s="11"/>
      <c r="F54" s="11">
        <f>IF(F$17&gt;0,"",(F10*F32)/F11)</f>
        <v>0.55940000000000001</v>
      </c>
      <c r="G54" s="158"/>
      <c r="H54" s="106"/>
    </row>
    <row r="55" spans="1:20" x14ac:dyDescent="0.35">
      <c r="A55" s="106"/>
      <c r="B55"/>
      <c r="C55" s="81" t="s">
        <v>60</v>
      </c>
      <c r="D55" s="11"/>
      <c r="E55" s="11"/>
      <c r="F55" s="11">
        <f>IF(F$17&gt;0,"",((F10*F32)-F52)/F11)</f>
        <v>0.53568032119999998</v>
      </c>
      <c r="G55" s="158"/>
      <c r="H55" s="106"/>
    </row>
    <row r="56" spans="1:20" x14ac:dyDescent="0.35">
      <c r="A56" s="106"/>
      <c r="B56"/>
      <c r="C56" s="81" t="s">
        <v>137</v>
      </c>
      <c r="D56" s="11"/>
      <c r="E56" s="11"/>
      <c r="F56" s="11">
        <f>IF(F17&gt;0,"",F53*(1+F33*((F54)^F34)))</f>
        <v>3.6370437923288614</v>
      </c>
      <c r="G56" s="158"/>
      <c r="H56" s="106"/>
      <c r="N56" s="217"/>
      <c r="O56" s="229"/>
      <c r="P56" s="229"/>
      <c r="Q56" s="229"/>
      <c r="R56" s="229"/>
      <c r="S56" s="229"/>
      <c r="T56" s="229"/>
    </row>
    <row r="57" spans="1:20" x14ac:dyDescent="0.35">
      <c r="A57" s="106"/>
      <c r="B57"/>
      <c r="C57" s="85" t="s">
        <v>138</v>
      </c>
      <c r="D57" s="44"/>
      <c r="E57" s="44"/>
      <c r="F57" s="44">
        <f>IF(F17&gt;0,"",F53*(1+F33*((F55)^F34)))</f>
        <v>3.596438163148429</v>
      </c>
      <c r="G57" s="159"/>
      <c r="H57" s="106"/>
      <c r="N57" s="217"/>
      <c r="O57" s="229"/>
      <c r="P57" s="229"/>
      <c r="Q57" s="229"/>
      <c r="R57" s="229"/>
      <c r="S57" s="229"/>
      <c r="T57" s="229"/>
    </row>
    <row r="58" spans="1:20" x14ac:dyDescent="0.35">
      <c r="A58" s="106"/>
      <c r="B58"/>
      <c r="C58" s="81" t="s">
        <v>154</v>
      </c>
      <c r="D58" s="44">
        <f>F58</f>
        <v>32.993828738906096</v>
      </c>
      <c r="E58" s="44">
        <f>F58</f>
        <v>32.993828738906096</v>
      </c>
      <c r="F58" s="44">
        <f>IF(F17&gt;0,"",F$8/(F56/60))</f>
        <v>32.993828738906096</v>
      </c>
      <c r="G58" s="159"/>
      <c r="H58" s="106"/>
      <c r="N58" s="217"/>
      <c r="O58" s="229"/>
      <c r="P58" s="229"/>
      <c r="Q58" s="229"/>
      <c r="R58" s="229"/>
      <c r="S58" s="229"/>
      <c r="T58" s="229"/>
    </row>
    <row r="59" spans="1:20" x14ac:dyDescent="0.35">
      <c r="A59" s="106"/>
      <c r="B59"/>
      <c r="C59" s="85" t="s">
        <v>155</v>
      </c>
      <c r="D59" s="44">
        <f>F59</f>
        <v>33.366345966851945</v>
      </c>
      <c r="E59" s="44">
        <f>F59</f>
        <v>33.366345966851945</v>
      </c>
      <c r="F59" s="44">
        <f>IF(F17&gt;0,"",F$8/(F57/60))</f>
        <v>33.366345966851945</v>
      </c>
      <c r="G59" s="159"/>
      <c r="H59" s="106"/>
      <c r="N59" s="217"/>
      <c r="O59" s="229"/>
      <c r="P59" s="229"/>
      <c r="Q59" s="229"/>
      <c r="R59" s="229"/>
      <c r="S59" s="229"/>
      <c r="T59" s="229"/>
    </row>
    <row r="60" spans="1:20" ht="15.5" x14ac:dyDescent="0.35">
      <c r="A60" s="106"/>
      <c r="B60"/>
      <c r="C60" s="120" t="s">
        <v>132</v>
      </c>
      <c r="D60" s="119"/>
      <c r="E60" s="118"/>
      <c r="F60" s="120"/>
      <c r="G60"/>
      <c r="H60" s="106"/>
      <c r="N60" s="217"/>
      <c r="O60" s="229"/>
      <c r="P60" s="229"/>
      <c r="Q60" s="229"/>
      <c r="R60" s="229"/>
      <c r="S60" s="229"/>
      <c r="T60" s="229"/>
    </row>
    <row r="61" spans="1:20" x14ac:dyDescent="0.35">
      <c r="A61" s="106"/>
      <c r="B61"/>
      <c r="C61" s="85" t="s">
        <v>439</v>
      </c>
      <c r="D61" s="8">
        <f>IF($F$17&gt;0,"",LOOKUP(ROUNDDOWN($D$58/5, 0)*5,'2025ER'!$D$6:$D$21,'2025ER'!$H$6:$H$21)+(($D$58-ROUNDDOWN($D$58/5, 0)*5)/5)*(LOOKUP(ROUNDUP($D$58/5, 0)*5,'2025ER'!$D$6:$D$21,'2025ER'!$H$6:$H$21)-LOOKUP(ROUNDDOWN($D$58/5, 0)*5,'2025ER'!$D$6:$D$21,'2025ER'!$H$6:$H$21)))</f>
        <v>304.6920494044893</v>
      </c>
      <c r="E61" s="8">
        <f>IF($F$17&gt;0,"",LOOKUP(ROUNDDOWN($E$58/5, 0)*5,'2035ER'!$D$6:$D$21,'2035ER'!$H$6:$H$21)+(($E$58-ROUNDDOWN($E$58/5, 0)*5)/5)*(LOOKUP(ROUNDUP($E$58/5, 0)*5,'2035ER'!$D$6:$D$21,'2035ER'!$H$6:$H$21)-LOOKUP(ROUNDDOWN($E$58/5, 0)*5,'2035ER'!$D$6:$D$21,'2035ER'!$H$6:$H$21)))</f>
        <v>167.84861405883973</v>
      </c>
      <c r="F61" s="8">
        <f t="shared" ref="F61:F67" si="1">IF($F$17&gt;0,"",TREND(D61:E61,$D$7:$E$7,$F$7))</f>
        <v>236.27033173166274</v>
      </c>
      <c r="G61" s="150"/>
      <c r="H61" s="106"/>
      <c r="N61" s="217"/>
      <c r="O61" s="229"/>
      <c r="P61" s="229"/>
      <c r="Q61" s="229"/>
      <c r="R61" s="229"/>
      <c r="S61" s="229"/>
      <c r="T61" s="229"/>
    </row>
    <row r="62" spans="1:20" x14ac:dyDescent="0.35">
      <c r="A62" s="106"/>
      <c r="B62"/>
      <c r="C62" s="85" t="s">
        <v>106</v>
      </c>
      <c r="D62" s="44">
        <f>IF($F$17&gt;0,"",LOOKUP(ROUNDDOWN($D$58/5, 0)*5,'2025ER'!$D$23:$D$38,'2025ER'!$H$23:$H$38)+(($D$58-ROUNDDOWN($D$58/5, 0)*5)/5)*(LOOKUP(ROUNDUP($D$58/5, 0)*5,'2025ER'!$D$23:$D$38,'2025ER'!$H$23:$H$38)-LOOKUP(ROUNDDOWN($D$58/5, 0)*5,'2025ER'!$D$23:$D$38,'2025ER'!$H$23:$H$38)))</f>
        <v>0.13725969610304611</v>
      </c>
      <c r="E62" s="44">
        <f>IF($F$17&gt;0,"",LOOKUP(ROUNDDOWN($E$58/5, 0)*5,'2035ER'!$D$23:$D$38,'2035ER'!$H$23:$H$38)+(($E$58-ROUNDDOWN($E$58/5, 0)*5)/5)*(LOOKUP(ROUNDUP($E$58/5, 0)*5,'2035ER'!$D$23:$D$38,'2035ER'!$H$23:$H$38)-LOOKUP(ROUNDDOWN($E$58/5, 0)*5,'2035ER'!$D$23:$D$38,'2035ER'!$H$23:$H$38)))</f>
        <v>1.7004640821705809E-2</v>
      </c>
      <c r="F62" s="44">
        <f t="shared" si="1"/>
        <v>7.7132168462377138E-2</v>
      </c>
      <c r="G62" s="159"/>
      <c r="H62" s="106"/>
      <c r="N62" s="217"/>
      <c r="O62" s="229"/>
      <c r="P62" s="229"/>
      <c r="Q62" s="229"/>
      <c r="R62" s="229"/>
      <c r="S62" s="229"/>
      <c r="T62" s="229"/>
    </row>
    <row r="63" spans="1:20" x14ac:dyDescent="0.35">
      <c r="A63" s="106"/>
      <c r="B63"/>
      <c r="C63" s="85" t="s">
        <v>122</v>
      </c>
      <c r="D63" s="44">
        <f>IF($F$17&gt;0,"",LOOKUP(ROUNDDOWN($D$58/5, 0)*5,'2025ER'!$D$40:$D$55,'2025ER'!$H$40:$H$55)+(($D$58-ROUNDDOWN($D$58/5, 0)*5)/5)*(LOOKUP(ROUNDUP($D$58/5, 0)*5,'2025ER'!$D$40:$D$55,'2025ER'!$H$40:$H$55)-LOOKUP(ROUNDDOWN($D$58/5, 0)*5,'2025ER'!$D$40:$D$55,'2025ER'!$H$40:$H$55)))</f>
        <v>2.8861481353357477E-3</v>
      </c>
      <c r="E63" s="44">
        <f>IF($F$17&gt;0,"",LOOKUP(ROUNDDOWN($E$58/5, 0)*5,'2035ER'!$D$40:$D$55,'2035ER'!$H$40:$H$55)+(($E$58-ROUNDDOWN($E$58/5, 0)*5)/5)*(LOOKUP(ROUNDUP($E$58/5, 0)*5,'2035ER'!$D$40:$D$55,'2035ER'!$H$40:$H$55)-LOOKUP(ROUNDDOWN($E$58/5, 0)*5,'2035ER'!$D$40:$D$55,'2035ER'!$H$40:$H$55)))</f>
        <v>1.0450109342438727E-3</v>
      </c>
      <c r="F63" s="44">
        <f t="shared" si="1"/>
        <v>1.9655795347898186E-3</v>
      </c>
      <c r="G63" s="159"/>
      <c r="H63" s="106"/>
      <c r="N63" s="217"/>
      <c r="O63" s="229"/>
      <c r="P63" s="229"/>
      <c r="Q63" s="229"/>
      <c r="R63" s="229"/>
      <c r="S63" s="229"/>
      <c r="T63" s="229"/>
    </row>
    <row r="64" spans="1:20" x14ac:dyDescent="0.35">
      <c r="A64" s="106"/>
      <c r="B64"/>
      <c r="C64" s="85" t="s">
        <v>146</v>
      </c>
      <c r="D64" s="44">
        <f>IF($F$17&gt;0,"",LOOKUP(ROUNDDOWN($D$58/5, 0)*5,'2025ER'!$D$57:$D$72,'2025ER'!$H$57:$H$72)+(($D$58-ROUNDDOWN($D$58/5, 0)*5)/5)*(LOOKUP(ROUNDUP($D$58/5, 0)*5,'2025ER'!$D$57:$D$72,'2025ER'!$H$57:$H$72)-LOOKUP(ROUNDDOWN($D$58/5, 0)*5,'2025ER'!$D$57:$D$72,'2025ER'!$H$57:$H$72)))</f>
        <v>0.13504447565095334</v>
      </c>
      <c r="E64" s="44">
        <f>IF($F$17&gt;0,"",LOOKUP(ROUNDDOWN($E$58/5, 0)*5,'2035ER'!$D$57:$D$72,'2035ER'!$H$57:$H$72)+(($E$58-ROUNDDOWN($E$58/5, 0)*5)/5)*(LOOKUP(ROUNDUP($E$58/5, 0)*5,'2035ER'!$D$57:$D$72,'2035ER'!$H$57:$H$72)-LOOKUP(ROUNDDOWN($E$58/5, 0)*5,'2035ER'!$D$57:$D$72,'2035ER'!$H$57:$H$72)))</f>
        <v>1.6805488896924157E-2</v>
      </c>
      <c r="F64" s="44">
        <f t="shared" si="1"/>
        <v>7.5924982273939179E-2</v>
      </c>
      <c r="G64" s="159"/>
      <c r="H64" s="106"/>
      <c r="N64" s="217"/>
      <c r="O64" s="229"/>
      <c r="P64" s="229"/>
      <c r="Q64" s="229"/>
      <c r="R64" s="229"/>
      <c r="S64" s="229"/>
      <c r="T64" s="229"/>
    </row>
    <row r="65" spans="1:20" x14ac:dyDescent="0.35">
      <c r="A65" s="106"/>
      <c r="B65"/>
      <c r="C65" s="85" t="s">
        <v>144</v>
      </c>
      <c r="D65" s="44">
        <f>IF($F$17&gt;0,"",LOOKUP(ROUNDDOWN($D$58/5, 0)*5,'2025ER'!$D$74:$D$89,'2025ER'!$H$74:$H$89)+(($D$58-ROUNDDOWN($D$58/5, 0)*5)/5)*(LOOKUP(ROUNDUP($D$58/5, 0)*5,'2025ER'!$D$74:$D$89,'2025ER'!$H$74:$H$89)-LOOKUP(ROUNDDOWN($D$58/5, 0)*5,'2025ER'!$D$74:$D$89,'2025ER'!$H$74:$H$89)))</f>
        <v>9.6472584696419658E-2</v>
      </c>
      <c r="E65" s="44">
        <f>IF($F$17&gt;0,"",LOOKUP(ROUNDDOWN($E$58/5, 0)*5,'2035ER'!$D$74:$D$89,'2035ER'!$H$74:$H$89)+(($E$58-ROUNDDOWN($E$58/5, 0)*5)/5)*(LOOKUP(ROUNDUP($E$58/5, 0)*5,'2035ER'!$D$74:$D$89,'2035ER'!$H$74:$H$89)-LOOKUP(ROUNDDOWN($E$58/5, 0)*5,'2035ER'!$D$74:$D$89,'2035ER'!$H$74:$H$89)))</f>
        <v>4.4191860029229577E-2</v>
      </c>
      <c r="F65" s="44">
        <f t="shared" si="1"/>
        <v>7.0332222362823771E-2</v>
      </c>
      <c r="G65" s="159"/>
      <c r="H65" s="106"/>
      <c r="N65" s="217"/>
      <c r="O65" s="229"/>
      <c r="P65" s="229"/>
      <c r="Q65" s="229"/>
      <c r="R65" s="229"/>
      <c r="S65" s="229"/>
      <c r="T65" s="229"/>
    </row>
    <row r="66" spans="1:20" x14ac:dyDescent="0.35">
      <c r="A66" s="106"/>
      <c r="B66"/>
      <c r="C66" s="85" t="s">
        <v>383</v>
      </c>
      <c r="D66" s="300">
        <f>IF($F$17&gt;0,"",LOOKUP(ROUNDDOWN($D$58/5, 0)*5,'2025ER'!$D$91:$D$106,'2025ER'!$H$91:$H$106)+(($D$58-ROUNDDOWN($D$58/5, 0)*5)/5)*(LOOKUP(ROUNDUP($D$58/5, 0)*5,'2025ER'!$D$91:$D$106,'2025ER'!$H$91:$H$106)-LOOKUP(ROUNDDOWN($D$58/5, 0)*5,'2025ER'!$D$91:$D$106,'2025ER'!$H$91:$H$106)))</f>
        <v>2.0726315986543177E-3</v>
      </c>
      <c r="E66" s="300">
        <f>IF($F$17&gt;0,"",LOOKUP(ROUNDDOWN($E$58/5, 0)*5,'2035ER'!$D$91:$D$106,'2035ER'!$H$91:$H$106)+(($E$58-ROUNDDOWN($E$58/5, 0)*5)/5)*(LOOKUP(ROUNDUP($E$58/5, 0)*5,'2035ER'!$D$91:$D$106,'2035ER'!$H$91:$H$106)-LOOKUP(ROUNDDOWN($E$58/5, 0)*5,'2035ER'!$D$91:$D$106,'2035ER'!$H$91:$H$106)))</f>
        <v>1.1438616763064958E-3</v>
      </c>
      <c r="F66" s="44">
        <f t="shared" si="1"/>
        <v>1.6082466374804094E-3</v>
      </c>
      <c r="G66" s="159"/>
      <c r="H66" s="106"/>
      <c r="N66" s="217"/>
      <c r="O66" s="229"/>
      <c r="P66" s="229"/>
      <c r="Q66" s="229"/>
      <c r="R66" s="229"/>
      <c r="S66" s="229"/>
      <c r="T66" s="229"/>
    </row>
    <row r="67" spans="1:20" x14ac:dyDescent="0.35">
      <c r="A67" s="106"/>
      <c r="B67"/>
      <c r="C67" s="85" t="s">
        <v>384</v>
      </c>
      <c r="D67" s="44">
        <f>IF($F$17&gt;0,"",LOOKUP(ROUNDDOWN($D$58/5, 0)*5,'2025ER'!$D$108:$D$123,'2025ER'!$H$108:$H$123)+(($D$58-ROUNDDOWN($D$58/5, 0)*5)/5)*(LOOKUP(ROUNDUP($D$58/5, 0)*5,'2025ER'!$D$108:$D$123,'2025ER'!$H$108:$H$123)-LOOKUP(ROUNDDOWN($D$58/5, 0)*5,'2025ER'!$D$108:$D$123,'2025ER'!$H$108:$H$123)))</f>
        <v>2.8516198485103343</v>
      </c>
      <c r="E67" s="44">
        <f>IF($F$17&gt;0,"",LOOKUP(ROUNDDOWN($E$58/5, 0)*5,'2035ER'!$D$108:$D$123,'2035ER'!$H$108:$H$123)+(($E$58-ROUNDDOWN($E$58/5, 0)*5)/5)*(LOOKUP(ROUNDUP($E$58/5, 0)*5,'2035ER'!$D$108:$D$123,'2035ER'!$H$108:$H$123)-LOOKUP(ROUNDDOWN($E$58/5, 0)*5,'2035ER'!$D$108:$D$123,'2035ER'!$H$108:$H$123)))</f>
        <v>1.2736902932250147</v>
      </c>
      <c r="F67" s="44">
        <f t="shared" si="1"/>
        <v>2.0626550708676632</v>
      </c>
      <c r="G67" s="159"/>
      <c r="H67" s="106"/>
      <c r="N67" s="217"/>
      <c r="O67" s="229"/>
      <c r="P67" s="229"/>
      <c r="Q67" s="229"/>
      <c r="R67" s="229"/>
      <c r="S67" s="229"/>
      <c r="T67" s="229"/>
    </row>
    <row r="68" spans="1:20" ht="15.5" x14ac:dyDescent="0.35">
      <c r="A68" s="106"/>
      <c r="B68"/>
      <c r="C68" s="120" t="s">
        <v>135</v>
      </c>
      <c r="D68" s="119"/>
      <c r="E68" s="118"/>
      <c r="F68" s="120"/>
      <c r="G68"/>
      <c r="H68" s="106"/>
      <c r="N68" s="217"/>
      <c r="O68" s="229"/>
      <c r="P68" s="229"/>
      <c r="Q68" s="229"/>
      <c r="R68" s="229"/>
      <c r="S68" s="229"/>
      <c r="T68" s="229"/>
    </row>
    <row r="69" spans="1:20" x14ac:dyDescent="0.35">
      <c r="A69" s="106"/>
      <c r="B69"/>
      <c r="C69" s="85" t="s">
        <v>439</v>
      </c>
      <c r="D69" s="8">
        <f>IF($F$17&gt;0,"",LOOKUP(ROUNDDOWN(D$59/5, 0)*5,'2025ER'!$D$6:$D$21,'2025ER'!$H$6:$H$21)+((D$59-ROUNDDOWN(D$59/5, 0)*5)/5)*(LOOKUP(ROUNDUP(D$59/5, 0)*5,'2025ER'!$D$6:$D$21,'2025ER'!$H$6:$H$21)-LOOKUP(ROUNDDOWN(D$59/5, 0)*5,'2025ER'!$D$6:$D$21,'2025ER'!$H$6:$H$21)))</f>
        <v>303.39091419357709</v>
      </c>
      <c r="E69" s="8">
        <f>IF($F$17&gt;0,"",LOOKUP(ROUNDDOWN(E$59/5, 0)*5,'2035ER'!$D$6:$D$21,'2035ER'!$H$6:$H$21)+((E$59-ROUNDDOWN(E$59/5, 0)*5)/5)*(LOOKUP(ROUNDUP(E$59/5, 0)*5,'2035ER'!$D$6:$D$21,'2035ER'!$H$6:$H$21)-LOOKUP(ROUNDDOWN(E$59/5, 0)*5,'2035ER'!$D$6:$D$21,'2035ER'!$H$6:$H$21)))</f>
        <v>167.14465247219269</v>
      </c>
      <c r="F69" s="8">
        <f t="shared" ref="F69:F75" si="2">IF($F$17&gt;0,"",TREND(D69:E69,$D$7:$E$7,$F$7))</f>
        <v>235.2677833328853</v>
      </c>
      <c r="G69" s="150"/>
      <c r="H69" s="106"/>
      <c r="N69" s="217"/>
      <c r="O69" s="229"/>
      <c r="P69" s="229"/>
      <c r="Q69" s="229"/>
      <c r="R69" s="229"/>
      <c r="S69" s="229"/>
      <c r="T69" s="229"/>
    </row>
    <row r="70" spans="1:20" x14ac:dyDescent="0.35">
      <c r="A70" s="106"/>
      <c r="B70"/>
      <c r="C70" s="85" t="s">
        <v>106</v>
      </c>
      <c r="D70" s="44">
        <f>IF($F$17&gt;0,"",LOOKUP(ROUNDDOWN($D$59/5, 0)*5,'2025ER'!$D$23:$D$38,'2025ER'!$H$23:$H$38)+(($D$59-ROUNDDOWN($D$59/5, 0)*5)/5)*(LOOKUP(ROUNDUP($D$59/5, 0)*5,'2025ER'!$D$23:$D$38,'2025ER'!$H$23:$H$38)-LOOKUP(ROUNDDOWN($D$59/5, 0)*5,'2025ER'!$D$23:$D$38,'2025ER'!$H$23:$H$38)))</f>
        <v>0.13680271935253166</v>
      </c>
      <c r="E70" s="44">
        <f>IF($F$17&gt;0,"",LOOKUP(ROUNDDOWN($E$59/5, 0)*5,'2035ER'!$D$23:$D$38,'2035ER'!$H$23:$H$38)+(($E$59-ROUNDDOWN($E$59/5, 0)*5)/5)*(LOOKUP(ROUNDUP($E$59/5, 0)*5,'2035ER'!$D$23:$D$38,'2035ER'!$H$23:$H$38)-LOOKUP(ROUNDDOWN($E$59/5, 0)*5,'2035ER'!$D$23:$D$38,'2035ER'!$H$23:$H$38)))</f>
        <v>1.6942118710325797E-2</v>
      </c>
      <c r="F70" s="44">
        <f t="shared" si="2"/>
        <v>7.6872419031428052E-2</v>
      </c>
      <c r="G70" s="159"/>
      <c r="H70" s="106"/>
      <c r="N70" s="217"/>
      <c r="O70" s="229"/>
      <c r="P70" s="229"/>
      <c r="Q70" s="229"/>
      <c r="R70" s="229"/>
      <c r="S70" s="229"/>
      <c r="T70" s="229"/>
    </row>
    <row r="71" spans="1:20" x14ac:dyDescent="0.35">
      <c r="A71" s="106"/>
      <c r="B71"/>
      <c r="C71" s="85" t="s">
        <v>122</v>
      </c>
      <c r="D71" s="44">
        <f>IF($F$17&gt;0,"",LOOKUP(ROUNDDOWN($D$59/5, 0)*5,'2025ER'!$D$40:$D$55,'2025ER'!$H$40:$H$55)+(($D$59-ROUNDDOWN($D$59/5, 0)*5)/5)*(LOOKUP(ROUNDUP($D$59/5, 0)*5,'2025ER'!$D$40:$D$55,'2025ER'!$H$40:$H$55)-LOOKUP(ROUNDDOWN($D$59/5, 0)*5,'2025ER'!$D$40:$D$55,'2025ER'!$H$40:$H$55)))</f>
        <v>2.8668625461946216E-3</v>
      </c>
      <c r="E71" s="44">
        <f>IF($F$17&gt;0,"",LOOKUP(ROUNDDOWN($E$59/5, 0)*5,'2035ER'!$D$40:$D$55,'2035ER'!$H$40:$H$55)+(($E$59-ROUNDDOWN($E$59/5, 0)*5)/5)*(LOOKUP(ROUNDUP($E$59/5, 0)*5,'2035ER'!$D$40:$D$55,'2035ER'!$H$40:$H$55)-LOOKUP(ROUNDDOWN($E$59/5, 0)*5,'2035ER'!$D$40:$D$55,'2035ER'!$H$40:$H$55)))</f>
        <v>1.0391716255455004E-3</v>
      </c>
      <c r="F71" s="44">
        <f t="shared" si="2"/>
        <v>1.9530170858700346E-3</v>
      </c>
      <c r="G71" s="159"/>
      <c r="H71" s="106"/>
      <c r="N71" s="217"/>
      <c r="O71" s="229"/>
      <c r="P71" s="229"/>
      <c r="Q71" s="229"/>
      <c r="R71" s="229"/>
      <c r="S71" s="229"/>
      <c r="T71" s="229"/>
    </row>
    <row r="72" spans="1:20" x14ac:dyDescent="0.35">
      <c r="A72" s="106"/>
      <c r="B72"/>
      <c r="C72" s="85" t="s">
        <v>146</v>
      </c>
      <c r="D72" s="44">
        <f>IF($F$17&gt;0,"",LOOKUP(ROUNDDOWN($D$59/5, 0)*5,'2025ER'!$D$57:$D$72,'2025ER'!$H$57:$H$72)+(($D$59-ROUNDDOWN($D$59/5, 0)*5)/5)*(LOOKUP(ROUNDUP($D$59/5, 0)*5,'2025ER'!$D$57:$D$72,'2025ER'!$H$57:$H$72)-LOOKUP(ROUNDDOWN($D$59/5, 0)*5,'2025ER'!$D$57:$D$72,'2025ER'!$H$57:$H$72)))</f>
        <v>0.13457928075852774</v>
      </c>
      <c r="E72" s="44">
        <f>IF($F$17&gt;0,"",LOOKUP(ROUNDDOWN($E$59/5, 0)*5,'2035ER'!$D$57:$D$72,'2035ER'!$H$57:$H$72)+(($E$59-ROUNDDOWN($E$59/5, 0)*5)/5)*(LOOKUP(ROUNDUP($E$59/5, 0)*5,'2035ER'!$D$57:$D$72,'2035ER'!$H$57:$H$72)-LOOKUP(ROUNDDOWN($E$59/5, 0)*5,'2035ER'!$D$57:$D$72,'2035ER'!$H$57:$H$72)))</f>
        <v>1.6740855429458457E-2</v>
      </c>
      <c r="F72" s="44">
        <f t="shared" si="2"/>
        <v>7.5660068093991839E-2</v>
      </c>
      <c r="G72" s="159"/>
      <c r="H72" s="106"/>
      <c r="N72" s="217"/>
      <c r="O72" s="229"/>
      <c r="P72" s="229"/>
      <c r="Q72" s="229"/>
      <c r="R72" s="229"/>
      <c r="S72" s="229"/>
      <c r="T72" s="229"/>
    </row>
    <row r="73" spans="1:20" x14ac:dyDescent="0.35">
      <c r="A73" s="106"/>
      <c r="B73"/>
      <c r="C73" s="85" t="s">
        <v>144</v>
      </c>
      <c r="D73" s="44">
        <f>IF($F$17&gt;0,"",LOOKUP(ROUNDDOWN($D$59/5, 0)*5,'2025ER'!$D$74:$D$89,'2025ER'!$H$74:$H$89)+(($D$59-ROUNDDOWN($D$59/5, 0)*5)/5)*(LOOKUP(ROUNDUP($D$59/5, 0)*5,'2025ER'!$D$74:$D$89,'2025ER'!$H$74:$H$89)-LOOKUP(ROUNDDOWN($D$59/5, 0)*5,'2025ER'!$D$74:$D$89,'2025ER'!$H$74:$H$89)))</f>
        <v>9.5550947975128725E-2</v>
      </c>
      <c r="E73" s="44">
        <f>IF($F$17&gt;0,"",LOOKUP(ROUNDDOWN($E$59/5, 0)*5,'2035ER'!$D$74:$D$89,'2035ER'!$H$74:$H$89)+(($E$59-ROUNDDOWN($E$59/5, 0)*5)/5)*(LOOKUP(ROUNDUP($E$59/5, 0)*5,'2035ER'!$D$74:$D$89,'2035ER'!$H$74:$H$89)-LOOKUP(ROUNDDOWN($E$59/5, 0)*5,'2035ER'!$D$74:$D$89,'2035ER'!$H$74:$H$89)))</f>
        <v>4.3771661637927117E-2</v>
      </c>
      <c r="F73" s="44">
        <f t="shared" si="2"/>
        <v>6.9661304806528435E-2</v>
      </c>
      <c r="G73" s="159"/>
      <c r="H73" s="106"/>
      <c r="N73" s="217"/>
      <c r="O73" s="229"/>
      <c r="P73" s="229"/>
      <c r="Q73" s="229"/>
      <c r="R73" s="229"/>
      <c r="S73" s="229"/>
      <c r="T73" s="229"/>
    </row>
    <row r="74" spans="1:20" x14ac:dyDescent="0.35">
      <c r="A74" s="106"/>
      <c r="B74"/>
      <c r="C74" s="85" t="s">
        <v>383</v>
      </c>
      <c r="D74" s="300">
        <f>IF($F$17&gt;0,"",LOOKUP(ROUNDDOWN($D$59/5, 0)*5,'2025ER'!$D$91:$D$106,'2025ER'!$H$91:$H$106)+(($D$59-ROUNDDOWN($D$59/5, 0)*5)/5)*(LOOKUP(ROUNDUP($D$59/5, 0)*5,'2025ER'!$D$91:$D$106,'2025ER'!$H$91:$H$106)-LOOKUP(ROUNDDOWN($D$59/5, 0)*5,'2025ER'!$D$91:$D$106,'2025ER'!$H$91:$H$106)))</f>
        <v>2.0638252697274015E-3</v>
      </c>
      <c r="E74" s="300">
        <f>IF($F$17&gt;0,"",LOOKUP(ROUNDDOWN($E$59/5, 0)*5,'2035ER'!$D$91:$D$106,'2035ER'!$H$91:$H$106)+(($E$59-ROUNDDOWN($E$59/5, 0)*5)/5)*(LOOKUP(ROUNDUP($E$59/5, 0)*5,'2035ER'!$D$91:$D$106,'2035ER'!$H$91:$H$106)-LOOKUP(ROUNDDOWN($E$59/5, 0)*5,'2035ER'!$D$91:$D$106,'2035ER'!$H$91:$H$106)))</f>
        <v>1.139079733949623E-3</v>
      </c>
      <c r="F74" s="44">
        <f t="shared" si="2"/>
        <v>1.6014525018385184E-3</v>
      </c>
      <c r="G74" s="159"/>
      <c r="H74" s="106"/>
      <c r="N74" s="217"/>
      <c r="O74" s="229"/>
      <c r="P74" s="229"/>
      <c r="Q74" s="229"/>
      <c r="R74" s="229"/>
      <c r="S74" s="229"/>
      <c r="T74" s="229"/>
    </row>
    <row r="75" spans="1:20" x14ac:dyDescent="0.35">
      <c r="A75" s="106"/>
      <c r="B75"/>
      <c r="C75" s="85" t="s">
        <v>384</v>
      </c>
      <c r="D75" s="44">
        <f>IF($F$17&gt;0,"",LOOKUP(ROUNDDOWN($D$59/5, 0)*5,'2025ER'!$D$108:$D$123,'2025ER'!$H$108:$H$123)+(($D$59-ROUNDDOWN($D$59/5, 0)*5)/5)*(LOOKUP(ROUNDUP($D$59/5, 0)*5,'2025ER'!$D$108:$D$123,'2025ER'!$H$108:$H$123)-LOOKUP(ROUNDDOWN($D$59/5, 0)*5,'2025ER'!$D$108:$D$123,'2025ER'!$H$108:$H$123)))</f>
        <v>2.8272052174341384</v>
      </c>
      <c r="E75" s="44">
        <f>IF($F$17&gt;0,"",LOOKUP(ROUNDDOWN($E$59/5, 0)*5,'2035ER'!$D$108:$D$123,'2035ER'!$H$108:$H$123)+(($E$59-ROUNDDOWN($E$59/5, 0)*5)/5)*(LOOKUP(ROUNDUP($E$59/5, 0)*5,'2035ER'!$D$108:$D$123,'2035ER'!$H$108:$H$123)-LOOKUP(ROUNDDOWN($E$59/5, 0)*5,'2035ER'!$D$108:$D$123,'2035ER'!$H$108:$H$123)))</f>
        <v>1.2630079697389316</v>
      </c>
      <c r="F75" s="44">
        <f t="shared" si="2"/>
        <v>2.0451065935865245</v>
      </c>
      <c r="G75" s="159"/>
      <c r="H75" s="106"/>
      <c r="N75" s="217"/>
      <c r="O75" s="229"/>
      <c r="P75" s="229"/>
      <c r="Q75" s="229"/>
      <c r="R75" s="229"/>
      <c r="S75" s="229"/>
      <c r="T75" s="229"/>
    </row>
    <row r="76" spans="1:20" ht="15.5" x14ac:dyDescent="0.35">
      <c r="A76" s="106"/>
      <c r="B76"/>
      <c r="C76" s="120" t="s">
        <v>148</v>
      </c>
      <c r="D76" s="119"/>
      <c r="E76" s="118"/>
      <c r="F76" s="120"/>
      <c r="G76"/>
      <c r="H76" s="106"/>
      <c r="N76" s="217"/>
      <c r="O76" s="229"/>
      <c r="P76" s="229"/>
      <c r="Q76" s="229"/>
      <c r="R76" s="229"/>
      <c r="S76" s="229"/>
      <c r="T76" s="229"/>
    </row>
    <row r="77" spans="1:20" x14ac:dyDescent="0.35">
      <c r="A77" s="106"/>
      <c r="B77"/>
      <c r="C77" s="85" t="s">
        <v>440</v>
      </c>
      <c r="D77" s="8"/>
      <c r="E77" s="8"/>
      <c r="F77" s="8">
        <f t="shared" ref="F77:F83" si="3">IF($F$17&gt;0,"",F$10*F$8*F$31*F61)</f>
        <v>991272176.78019106</v>
      </c>
      <c r="G77" s="150"/>
      <c r="H77" s="106"/>
      <c r="N77" s="217"/>
      <c r="O77" s="229"/>
      <c r="P77" s="229"/>
      <c r="Q77" s="229"/>
      <c r="R77" s="229"/>
      <c r="S77" s="229"/>
      <c r="T77" s="229"/>
    </row>
    <row r="78" spans="1:20" x14ac:dyDescent="0.35">
      <c r="A78" s="106"/>
      <c r="B78"/>
      <c r="C78" s="85" t="s">
        <v>150</v>
      </c>
      <c r="D78" s="8"/>
      <c r="E78" s="8"/>
      <c r="F78" s="8">
        <f t="shared" si="3"/>
        <v>323608.01278390328</v>
      </c>
      <c r="G78" s="150"/>
      <c r="H78" s="106"/>
      <c r="N78" s="217"/>
      <c r="O78" s="229"/>
      <c r="P78" s="229"/>
      <c r="Q78" s="229"/>
      <c r="R78" s="229"/>
      <c r="S78" s="229"/>
      <c r="T78" s="229"/>
    </row>
    <row r="79" spans="1:20" x14ac:dyDescent="0.35">
      <c r="A79" s="106"/>
      <c r="B79"/>
      <c r="C79" s="85" t="s">
        <v>151</v>
      </c>
      <c r="D79" s="8"/>
      <c r="E79" s="8"/>
      <c r="F79" s="8">
        <f t="shared" si="3"/>
        <v>8246.5889382106834</v>
      </c>
      <c r="G79" s="150"/>
      <c r="H79" s="106"/>
      <c r="N79" s="217"/>
      <c r="O79" s="229"/>
      <c r="P79" s="229"/>
      <c r="Q79" s="229"/>
      <c r="R79" s="229"/>
      <c r="S79" s="229"/>
      <c r="T79" s="229"/>
    </row>
    <row r="80" spans="1:20" x14ac:dyDescent="0.35">
      <c r="A80" s="106"/>
      <c r="B80"/>
      <c r="C80" s="85" t="s">
        <v>152</v>
      </c>
      <c r="D80" s="8"/>
      <c r="E80" s="8"/>
      <c r="F80" s="8">
        <f t="shared" si="3"/>
        <v>318543.2631303118</v>
      </c>
      <c r="G80" s="150"/>
      <c r="H80" s="106"/>
      <c r="N80" s="217"/>
      <c r="O80" s="229"/>
      <c r="P80" s="229"/>
      <c r="Q80" s="229"/>
      <c r="R80" s="229"/>
      <c r="S80" s="229"/>
      <c r="T80" s="229"/>
    </row>
    <row r="81" spans="1:20" x14ac:dyDescent="0.35">
      <c r="A81" s="106"/>
      <c r="B81"/>
      <c r="C81" s="85" t="s">
        <v>153</v>
      </c>
      <c r="D81" s="8"/>
      <c r="E81" s="8"/>
      <c r="F81" s="8">
        <f t="shared" si="3"/>
        <v>295078.83892322716</v>
      </c>
      <c r="G81" s="150"/>
      <c r="H81" s="106"/>
      <c r="N81" s="217"/>
      <c r="O81" s="229"/>
      <c r="P81" s="229"/>
      <c r="Q81" s="229"/>
      <c r="R81" s="229"/>
      <c r="S81" s="229"/>
      <c r="T81" s="229"/>
    </row>
    <row r="82" spans="1:20" x14ac:dyDescent="0.35">
      <c r="A82" s="106"/>
      <c r="B82"/>
      <c r="C82" s="85" t="s">
        <v>385</v>
      </c>
      <c r="D82" s="8"/>
      <c r="E82" s="8"/>
      <c r="F82" s="8">
        <f t="shared" si="3"/>
        <v>6747.398767549058</v>
      </c>
      <c r="G82" s="150"/>
      <c r="H82" s="106"/>
      <c r="N82" s="217"/>
      <c r="O82" s="229"/>
      <c r="P82" s="229"/>
      <c r="Q82" s="229"/>
      <c r="R82" s="229"/>
      <c r="S82" s="229"/>
      <c r="T82" s="229"/>
    </row>
    <row r="83" spans="1:20" x14ac:dyDescent="0.35">
      <c r="A83" s="106"/>
      <c r="B83"/>
      <c r="C83" s="85" t="s">
        <v>386</v>
      </c>
      <c r="D83" s="8"/>
      <c r="E83" s="8"/>
      <c r="F83" s="8">
        <f t="shared" si="3"/>
        <v>8653869.3498252816</v>
      </c>
      <c r="G83" s="150"/>
      <c r="H83" s="106"/>
    </row>
    <row r="84" spans="1:20" ht="15.5" x14ac:dyDescent="0.35">
      <c r="A84" s="106"/>
      <c r="B84"/>
      <c r="C84" s="120" t="s">
        <v>149</v>
      </c>
      <c r="D84" s="119"/>
      <c r="E84" s="118"/>
      <c r="F84" s="120"/>
      <c r="G84"/>
      <c r="H84" s="106"/>
    </row>
    <row r="85" spans="1:20" x14ac:dyDescent="0.35">
      <c r="A85" s="106"/>
      <c r="B85"/>
      <c r="C85" s="85" t="s">
        <v>440</v>
      </c>
      <c r="D85" s="8"/>
      <c r="E85" s="8"/>
      <c r="F85" s="8">
        <f t="shared" ref="F85:F91" si="4">IF($F$17&gt;0,F$96*F38,(F$10*F$8*F$31-F$96)*F69)</f>
        <v>957573460.14942813</v>
      </c>
      <c r="G85" s="150"/>
      <c r="H85" s="106"/>
    </row>
    <row r="86" spans="1:20" x14ac:dyDescent="0.35">
      <c r="A86" s="106"/>
      <c r="B86"/>
      <c r="C86" s="85" t="s">
        <v>150</v>
      </c>
      <c r="D86" s="8"/>
      <c r="E86" s="8"/>
      <c r="F86" s="8">
        <f t="shared" si="4"/>
        <v>312881.71818164998</v>
      </c>
      <c r="G86" s="150"/>
      <c r="H86" s="106"/>
    </row>
    <row r="87" spans="1:20" x14ac:dyDescent="0.35">
      <c r="A87" s="106"/>
      <c r="B87"/>
      <c r="C87" s="85" t="s">
        <v>151</v>
      </c>
      <c r="D87" s="8"/>
      <c r="E87" s="8"/>
      <c r="F87" s="8">
        <f t="shared" si="4"/>
        <v>7949.0583119975981</v>
      </c>
      <c r="G87" s="150"/>
      <c r="H87" s="106"/>
    </row>
    <row r="88" spans="1:20" x14ac:dyDescent="0.35">
      <c r="A88" s="106"/>
      <c r="B88"/>
      <c r="C88" s="85" t="s">
        <v>152</v>
      </c>
      <c r="D88" s="8"/>
      <c r="E88" s="8"/>
      <c r="F88" s="8">
        <f t="shared" si="4"/>
        <v>307947.27681602706</v>
      </c>
      <c r="G88" s="150"/>
      <c r="H88" s="106"/>
    </row>
    <row r="89" spans="1:20" x14ac:dyDescent="0.35">
      <c r="A89" s="106"/>
      <c r="B89"/>
      <c r="C89" s="85" t="s">
        <v>153</v>
      </c>
      <c r="D89" s="8"/>
      <c r="E89" s="8"/>
      <c r="F89" s="8">
        <f t="shared" si="4"/>
        <v>283531.45397611865</v>
      </c>
      <c r="G89" s="150"/>
      <c r="H89" s="106"/>
    </row>
    <row r="90" spans="1:20" x14ac:dyDescent="0.35">
      <c r="A90" s="106"/>
      <c r="B90"/>
      <c r="C90" s="85" t="s">
        <v>385</v>
      </c>
      <c r="D90" s="8"/>
      <c r="E90" s="8"/>
      <c r="F90" s="8">
        <f t="shared" si="4"/>
        <v>6518.140272868025</v>
      </c>
      <c r="G90" s="150"/>
      <c r="H90" s="106"/>
    </row>
    <row r="91" spans="1:20" x14ac:dyDescent="0.35">
      <c r="A91" s="106"/>
      <c r="B91"/>
      <c r="C91" s="85" t="s">
        <v>386</v>
      </c>
      <c r="D91" s="8"/>
      <c r="E91" s="8"/>
      <c r="F91" s="8">
        <f t="shared" si="4"/>
        <v>8323875.7532057101</v>
      </c>
      <c r="G91" s="150"/>
      <c r="H91" s="106"/>
    </row>
    <row r="92" spans="1:20" x14ac:dyDescent="0.35">
      <c r="A92" s="106"/>
      <c r="B92"/>
      <c r="C92" s="16"/>
      <c r="D92" s="150"/>
      <c r="E92" s="150"/>
      <c r="F92" s="150"/>
      <c r="G92" s="150"/>
      <c r="H92" s="106"/>
    </row>
    <row r="93" spans="1:20" ht="15.5" x14ac:dyDescent="0.35">
      <c r="A93" s="106"/>
      <c r="B93"/>
      <c r="C93" s="439" t="s">
        <v>193</v>
      </c>
      <c r="D93" s="439"/>
      <c r="E93" s="439"/>
      <c r="F93" s="439"/>
      <c r="G93" s="150"/>
      <c r="H93" s="106"/>
      <c r="P93" s="225"/>
      <c r="Q93" s="230"/>
      <c r="R93" s="226"/>
      <c r="S93" s="226"/>
    </row>
    <row r="94" spans="1:20" ht="15" thickBot="1" x14ac:dyDescent="0.4">
      <c r="A94" s="106"/>
      <c r="B94"/>
      <c r="C94" s="131" t="s">
        <v>194</v>
      </c>
      <c r="D94" s="131"/>
      <c r="E94" s="131"/>
      <c r="F94" s="131"/>
      <c r="G94" s="150"/>
      <c r="H94" s="106"/>
      <c r="Q94" s="227"/>
      <c r="R94" s="227"/>
      <c r="S94" s="227"/>
    </row>
    <row r="95" spans="1:20" x14ac:dyDescent="0.35">
      <c r="A95" s="106"/>
      <c r="B95" s="84"/>
      <c r="C95" s="167" t="s">
        <v>54</v>
      </c>
      <c r="D95" s="200"/>
      <c r="E95" s="190"/>
      <c r="F95" s="301">
        <f>IF($F$17&gt;0,"N/A",((F56*F31*F10)-(((F10*F31)-F50)*F57)))</f>
        <v>405079.30131553765</v>
      </c>
      <c r="G95"/>
      <c r="H95" s="106"/>
      <c r="Q95" s="227"/>
      <c r="R95" s="227"/>
      <c r="S95" s="227"/>
    </row>
    <row r="96" spans="1:20" ht="15" thickBot="1" x14ac:dyDescent="0.4">
      <c r="A96" s="106"/>
      <c r="B96" s="84"/>
      <c r="C96" s="116" t="s">
        <v>11</v>
      </c>
      <c r="D96" s="201"/>
      <c r="E96" s="202"/>
      <c r="F96" s="302">
        <f>IF(F17&gt;0,(F17*F21+F18*F24)*F31,(F48*F21)+(F49*F24))</f>
        <v>125357.26059000001</v>
      </c>
      <c r="G96" s="59"/>
      <c r="H96" s="106"/>
      <c r="Q96" s="228"/>
      <c r="R96" s="229"/>
      <c r="S96" s="228"/>
    </row>
    <row r="97" spans="1:19" x14ac:dyDescent="0.35">
      <c r="A97" s="106"/>
      <c r="B97"/>
      <c r="C97" s="2"/>
      <c r="D97" s="59"/>
      <c r="E97" s="59"/>
      <c r="F97" s="213"/>
      <c r="G97" s="59"/>
      <c r="H97" s="106"/>
      <c r="Q97" s="228"/>
      <c r="R97" s="229"/>
      <c r="S97" s="228"/>
    </row>
    <row r="98" spans="1:19" ht="15" thickBot="1" x14ac:dyDescent="0.4">
      <c r="A98" s="106"/>
      <c r="B98"/>
      <c r="C98" s="318" t="s">
        <v>202</v>
      </c>
      <c r="D98"/>
      <c r="E98"/>
      <c r="F98"/>
      <c r="G98" s="59"/>
      <c r="H98" s="106"/>
      <c r="Q98" s="228"/>
      <c r="R98" s="229"/>
      <c r="S98" s="228"/>
    </row>
    <row r="99" spans="1:19" x14ac:dyDescent="0.35">
      <c r="A99" s="106"/>
      <c r="B99"/>
      <c r="C99" s="338" t="s">
        <v>463</v>
      </c>
      <c r="D99" s="323"/>
      <c r="E99" s="323"/>
      <c r="F99" s="394">
        <f>IF($F$17&gt;0,F85/1000,(F77-F85)/1000)</f>
        <v>33698.716630762938</v>
      </c>
      <c r="G99"/>
      <c r="H99" s="106"/>
      <c r="Q99" s="228"/>
      <c r="R99" s="229"/>
      <c r="S99" s="228"/>
    </row>
    <row r="100" spans="1:19" ht="12.75" customHeight="1" x14ac:dyDescent="0.35">
      <c r="A100" s="106"/>
      <c r="B100"/>
      <c r="C100" s="342" t="s">
        <v>488</v>
      </c>
      <c r="D100" s="319"/>
      <c r="E100" s="319"/>
      <c r="F100" s="395">
        <f t="shared" ref="F100:F105" si="5">IF($F$17&gt;0,F86/1000,(F78-F86)/1000)</f>
        <v>10.726294602253299</v>
      </c>
      <c r="G100" s="155" t="s">
        <v>511</v>
      </c>
      <c r="H100" s="106"/>
      <c r="Q100" s="228"/>
      <c r="R100" s="229"/>
      <c r="S100" s="228"/>
    </row>
    <row r="101" spans="1:19" x14ac:dyDescent="0.35">
      <c r="A101" s="106"/>
      <c r="B101"/>
      <c r="C101" s="342" t="s">
        <v>489</v>
      </c>
      <c r="D101" s="319"/>
      <c r="E101" s="319"/>
      <c r="F101" s="395">
        <f t="shared" si="5"/>
        <v>0.29753062621308529</v>
      </c>
      <c r="G101" s="155" t="s">
        <v>511</v>
      </c>
      <c r="H101" s="106"/>
    </row>
    <row r="102" spans="1:19" x14ac:dyDescent="0.35">
      <c r="A102" s="106"/>
      <c r="B102"/>
      <c r="C102" s="342" t="s">
        <v>464</v>
      </c>
      <c r="D102" s="319"/>
      <c r="E102" s="319"/>
      <c r="F102" s="395">
        <f t="shared" si="5"/>
        <v>10.595986314284731</v>
      </c>
      <c r="G102" s="155"/>
      <c r="H102" s="106"/>
    </row>
    <row r="103" spans="1:19" x14ac:dyDescent="0.35">
      <c r="A103" s="106"/>
      <c r="B103"/>
      <c r="C103" s="342" t="s">
        <v>465</v>
      </c>
      <c r="D103" s="319"/>
      <c r="E103" s="319"/>
      <c r="F103" s="395">
        <f t="shared" si="5"/>
        <v>11.547384947108512</v>
      </c>
      <c r="G103" s="155"/>
      <c r="H103" s="106"/>
    </row>
    <row r="104" spans="1:19" x14ac:dyDescent="0.35">
      <c r="A104" s="106"/>
      <c r="B104"/>
      <c r="C104" s="342" t="s">
        <v>466</v>
      </c>
      <c r="D104" s="319"/>
      <c r="E104" s="319"/>
      <c r="F104" s="395">
        <f t="shared" si="5"/>
        <v>0.22925849468103296</v>
      </c>
      <c r="G104" s="155"/>
      <c r="H104" s="106"/>
    </row>
    <row r="105" spans="1:19" ht="15" thickBot="1" x14ac:dyDescent="0.4">
      <c r="A105" s="106"/>
      <c r="B105"/>
      <c r="C105" s="343" t="s">
        <v>467</v>
      </c>
      <c r="D105" s="322"/>
      <c r="E105" s="322"/>
      <c r="F105" s="396">
        <f t="shared" si="5"/>
        <v>329.99359661957158</v>
      </c>
      <c r="G105" s="155"/>
      <c r="H105" s="106"/>
    </row>
    <row r="106" spans="1:19" x14ac:dyDescent="0.35">
      <c r="A106" s="106"/>
      <c r="B106"/>
      <c r="C106" s="338" t="s">
        <v>474</v>
      </c>
      <c r="D106" s="329"/>
      <c r="E106" s="329"/>
      <c r="F106" s="320">
        <f>F99/F$31</f>
        <v>134.79486652305175</v>
      </c>
      <c r="G106" s="155"/>
      <c r="H106" s="106"/>
    </row>
    <row r="107" spans="1:19" x14ac:dyDescent="0.35">
      <c r="A107" s="106"/>
      <c r="B107"/>
      <c r="C107" s="342" t="s">
        <v>475</v>
      </c>
      <c r="D107" s="328"/>
      <c r="E107" s="328"/>
      <c r="F107" s="321">
        <f t="shared" ref="F107:F112" si="6">F100/F$31</f>
        <v>4.2905178409013194E-2</v>
      </c>
      <c r="G107" s="66"/>
      <c r="H107" s="106"/>
    </row>
    <row r="108" spans="1:19" x14ac:dyDescent="0.35">
      <c r="A108" s="106"/>
      <c r="B108"/>
      <c r="C108" s="342" t="s">
        <v>476</v>
      </c>
      <c r="D108" s="328"/>
      <c r="E108" s="328"/>
      <c r="F108" s="321">
        <f t="shared" si="6"/>
        <v>1.1901225048523412E-3</v>
      </c>
      <c r="G108" s="66"/>
      <c r="H108" s="106"/>
    </row>
    <row r="109" spans="1:19" x14ac:dyDescent="0.35">
      <c r="A109" s="106"/>
      <c r="B109"/>
      <c r="C109" s="342" t="s">
        <v>498</v>
      </c>
      <c r="D109" s="328"/>
      <c r="E109" s="328"/>
      <c r="F109" s="321">
        <f t="shared" si="6"/>
        <v>4.2383945257138927E-2</v>
      </c>
      <c r="G109" s="155" t="s">
        <v>511</v>
      </c>
      <c r="H109" s="106"/>
    </row>
    <row r="110" spans="1:19" x14ac:dyDescent="0.35">
      <c r="A110" s="106"/>
      <c r="B110"/>
      <c r="C110" s="342" t="s">
        <v>499</v>
      </c>
      <c r="D110" s="328"/>
      <c r="E110" s="328"/>
      <c r="F110" s="321">
        <f t="shared" si="6"/>
        <v>4.6189539788434049E-2</v>
      </c>
      <c r="G110" s="155" t="s">
        <v>511</v>
      </c>
      <c r="H110" s="106"/>
    </row>
    <row r="111" spans="1:19" x14ac:dyDescent="0.35">
      <c r="A111" s="106"/>
      <c r="B111"/>
      <c r="C111" s="342" t="s">
        <v>477</v>
      </c>
      <c r="D111" s="328"/>
      <c r="E111" s="328"/>
      <c r="F111" s="321">
        <f t="shared" si="6"/>
        <v>9.1703397872413184E-4</v>
      </c>
      <c r="G111"/>
      <c r="H111" s="106"/>
    </row>
    <row r="112" spans="1:19" ht="15" thickBot="1" x14ac:dyDescent="0.4">
      <c r="A112" s="106"/>
      <c r="B112"/>
      <c r="C112" s="343" t="s">
        <v>501</v>
      </c>
      <c r="D112" s="330"/>
      <c r="E112" s="330"/>
      <c r="F112" s="362">
        <f t="shared" si="6"/>
        <v>1.3199743864782862</v>
      </c>
      <c r="G112" s="155" t="s">
        <v>511</v>
      </c>
      <c r="H112" s="106"/>
    </row>
    <row r="113" spans="1:11" ht="15" thickBot="1" x14ac:dyDescent="0.4">
      <c r="A113" s="106"/>
      <c r="B113"/>
      <c r="C113" s="3"/>
      <c r="D113"/>
      <c r="E113"/>
      <c r="F113"/>
      <c r="G113"/>
      <c r="H113" s="106"/>
      <c r="K113" s="216"/>
    </row>
    <row r="114" spans="1:11" x14ac:dyDescent="0.35">
      <c r="A114" s="106"/>
      <c r="B114"/>
      <c r="C114" s="338" t="s">
        <v>472</v>
      </c>
      <c r="D114" s="329"/>
      <c r="E114" s="329"/>
      <c r="F114" s="324">
        <v>5212260</v>
      </c>
      <c r="G114"/>
      <c r="H114" s="106"/>
    </row>
    <row r="115" spans="1:11" x14ac:dyDescent="0.35">
      <c r="A115" s="106"/>
      <c r="B115"/>
      <c r="C115" s="342" t="s">
        <v>473</v>
      </c>
      <c r="D115" s="328"/>
      <c r="E115" s="328"/>
      <c r="F115" s="369">
        <v>20</v>
      </c>
      <c r="G115"/>
      <c r="H115" s="106"/>
    </row>
    <row r="116" spans="1:11" x14ac:dyDescent="0.35">
      <c r="A116" s="106"/>
      <c r="B116"/>
      <c r="C116" s="342" t="s">
        <v>493</v>
      </c>
      <c r="D116" s="328"/>
      <c r="E116" s="328"/>
      <c r="F116" s="370">
        <f>(F$114/F$115)/F100</f>
        <v>24296.647599558975</v>
      </c>
      <c r="G116" s="155" t="s">
        <v>511</v>
      </c>
      <c r="H116" s="106"/>
    </row>
    <row r="117" spans="1:11" x14ac:dyDescent="0.35">
      <c r="A117" s="106"/>
      <c r="B117"/>
      <c r="C117" s="342" t="s">
        <v>494</v>
      </c>
      <c r="D117" s="328"/>
      <c r="E117" s="328"/>
      <c r="F117" s="370">
        <f>(F$114/F$115)/F101</f>
        <v>875919.91223570495</v>
      </c>
      <c r="G117" s="155" t="s">
        <v>511</v>
      </c>
      <c r="H117" s="106"/>
    </row>
    <row r="118" spans="1:11" x14ac:dyDescent="0.35">
      <c r="A118" s="106"/>
      <c r="B118"/>
      <c r="C118" s="342" t="s">
        <v>495</v>
      </c>
      <c r="D118" s="328"/>
      <c r="E118" s="328"/>
      <c r="F118" s="370">
        <f>((F$114/F$115)/F$31)/F109</f>
        <v>24595.445130828517</v>
      </c>
      <c r="G118" s="155" t="s">
        <v>511</v>
      </c>
      <c r="H118" s="106"/>
    </row>
    <row r="119" spans="1:11" x14ac:dyDescent="0.35">
      <c r="A119" s="106"/>
      <c r="B119"/>
      <c r="C119" s="342" t="s">
        <v>496</v>
      </c>
      <c r="D119" s="328"/>
      <c r="E119" s="328"/>
      <c r="F119" s="370">
        <f t="shared" ref="F119" si="7">((F$114/F$115)/F$31)/F110</f>
        <v>22569.005986524942</v>
      </c>
      <c r="G119" s="155" t="s">
        <v>511</v>
      </c>
      <c r="H119" s="106"/>
    </row>
    <row r="120" spans="1:11" ht="15" thickBot="1" x14ac:dyDescent="0.4">
      <c r="A120" s="106"/>
      <c r="B120"/>
      <c r="C120" s="343" t="s">
        <v>497</v>
      </c>
      <c r="D120" s="330"/>
      <c r="E120" s="330"/>
      <c r="F120" s="371">
        <f>((F$114/F$115)/F$31)/F112</f>
        <v>789.75168812273648</v>
      </c>
      <c r="G120" s="155" t="s">
        <v>511</v>
      </c>
      <c r="H120" s="106"/>
    </row>
    <row r="121" spans="1:11" x14ac:dyDescent="0.35">
      <c r="A121" s="106"/>
      <c r="B121" s="106"/>
      <c r="C121" s="106"/>
      <c r="D121" s="106"/>
      <c r="E121" s="106"/>
      <c r="F121" s="106"/>
      <c r="G121" s="106"/>
      <c r="H121" s="106"/>
    </row>
  </sheetData>
  <mergeCells count="7">
    <mergeCell ref="C46:F46"/>
    <mergeCell ref="C93:F93"/>
    <mergeCell ref="C16:F16"/>
    <mergeCell ref="C2:F2"/>
    <mergeCell ref="C3:F3"/>
    <mergeCell ref="C5:F5"/>
    <mergeCell ref="C26:F26"/>
  </mergeCells>
  <dataValidations count="2">
    <dataValidation type="list" allowBlank="1" showInputMessage="1" showErrorMessage="1" sqref="G7:G9" xr:uid="{00000000-0002-0000-0900-000000000000}">
      <formula1>$Y$3:$Y$12</formula1>
    </dataValidation>
    <dataValidation type="list" allowBlank="1" showInputMessage="1" showErrorMessage="1" sqref="D9:F9" xr:uid="{00000000-0002-0000-0900-000001000000}">
      <formula1>$I$110:$I$121</formula1>
    </dataValidation>
  </dataValidations>
  <printOptions headings="1" gridLines="1"/>
  <pageMargins left="0.7" right="0.7" top="0.75" bottom="0.75" header="0.3" footer="0.3"/>
  <pageSetup paperSize="17" scale="6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900-000002000000}">
          <x14:formula1>
            <xm:f>OtherVariables!$P$24:$P$39</xm:f>
          </x14:formula1>
          <xm:sqref>F7</xm:sqref>
        </x14:dataValidation>
        <x14:dataValidation type="list" allowBlank="1" showInputMessage="1" showErrorMessage="1" xr:uid="{00000000-0002-0000-0900-000003000000}">
          <x14:formula1>
            <xm:f>OtherVariables!$I$14:$I$18</xm:f>
          </x14:formula1>
          <xm:sqref>F15</xm:sqref>
        </x14:dataValidation>
        <x14:dataValidation type="list" allowBlank="1" showInputMessage="1" showErrorMessage="1" xr:uid="{00000000-0002-0000-0900-000004000000}">
          <x14:formula1>
            <xm:f>OtherVariables!$A$135:$A$136</xm:f>
          </x14:formula1>
          <xm:sqref>F14</xm:sqref>
        </x14:dataValidation>
        <x14:dataValidation type="list" allowBlank="1" showInputMessage="1" showErrorMessage="1" xr:uid="{00000000-0002-0000-0900-000005000000}">
          <x14:formula1>
            <xm:f>OtherVariables!$A$82:$A$83</xm:f>
          </x14:formula1>
          <xm:sqref>F20 F23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AB94"/>
  <sheetViews>
    <sheetView showGridLines="0" topLeftCell="A66" zoomScale="87" zoomScaleNormal="87" workbookViewId="0">
      <selection activeCell="F36" sqref="F36"/>
    </sheetView>
  </sheetViews>
  <sheetFormatPr defaultColWidth="9.08984375" defaultRowHeight="14.5" x14ac:dyDescent="0.35"/>
  <cols>
    <col min="1" max="1" width="2.453125" style="78" customWidth="1"/>
    <col min="2" max="2" width="1.54296875" style="78" customWidth="1"/>
    <col min="3" max="3" width="72" style="78" customWidth="1"/>
    <col min="4" max="4" width="18" style="78" hidden="1" customWidth="1"/>
    <col min="5" max="5" width="18.453125" style="78" hidden="1" customWidth="1"/>
    <col min="6" max="6" width="26.453125" style="78" customWidth="1"/>
    <col min="7" max="7" width="5.6328125" style="78" customWidth="1"/>
    <col min="8" max="8" width="2.453125" style="78" customWidth="1"/>
    <col min="9" max="9" width="2.453125" style="170" customWidth="1"/>
    <col min="10" max="10" width="15.453125" style="170" customWidth="1"/>
    <col min="11" max="11" width="22.54296875" style="170" bestFit="1" customWidth="1"/>
    <col min="12" max="12" width="11.08984375" style="170" customWidth="1"/>
    <col min="13" max="17" width="9.08984375" style="170"/>
    <col min="18" max="18" width="25.54296875" style="170" customWidth="1"/>
    <col min="19" max="19" width="20.453125" style="170" customWidth="1"/>
    <col min="20" max="21" width="9.08984375" style="170"/>
    <col min="22" max="22" width="22.54296875" style="170" bestFit="1" customWidth="1"/>
    <col min="23" max="28" width="9.08984375" style="170"/>
    <col min="29" max="16384" width="9.08984375" style="78"/>
  </cols>
  <sheetData>
    <row r="1" spans="1:17" ht="12" customHeight="1" x14ac:dyDescent="0.35">
      <c r="A1" s="106"/>
      <c r="B1" s="106"/>
      <c r="C1" s="106"/>
      <c r="D1" s="106"/>
      <c r="E1" s="106"/>
      <c r="F1" s="106"/>
      <c r="G1" s="106"/>
      <c r="H1" s="106"/>
    </row>
    <row r="2" spans="1:17" ht="8.25" customHeight="1" x14ac:dyDescent="0.35">
      <c r="A2" s="106"/>
      <c r="B2" s="118"/>
      <c r="C2" s="440"/>
      <c r="D2" s="440"/>
      <c r="E2" s="440"/>
      <c r="F2" s="440"/>
      <c r="G2" s="118"/>
      <c r="H2" s="106"/>
    </row>
    <row r="3" spans="1:17" ht="29.25" customHeight="1" x14ac:dyDescent="0.35">
      <c r="A3" s="106"/>
      <c r="B3"/>
      <c r="C3" s="441" t="s">
        <v>319</v>
      </c>
      <c r="D3" s="441"/>
      <c r="E3" s="441"/>
      <c r="F3" s="441"/>
      <c r="G3" s="91"/>
      <c r="H3" s="106"/>
    </row>
    <row r="4" spans="1:17" ht="15" customHeight="1" x14ac:dyDescent="0.35">
      <c r="A4" s="106"/>
      <c r="B4"/>
      <c r="C4"/>
      <c r="D4"/>
      <c r="E4"/>
      <c r="F4"/>
      <c r="G4"/>
      <c r="H4" s="106"/>
    </row>
    <row r="5" spans="1:17" ht="15" customHeight="1" x14ac:dyDescent="0.35">
      <c r="A5" s="106"/>
      <c r="B5"/>
      <c r="C5" s="442" t="s">
        <v>196</v>
      </c>
      <c r="D5" s="442"/>
      <c r="E5" s="442"/>
      <c r="F5" s="442"/>
      <c r="G5"/>
      <c r="H5" s="106"/>
    </row>
    <row r="6" spans="1:17" ht="15" customHeight="1" x14ac:dyDescent="0.35">
      <c r="A6" s="106"/>
      <c r="B6"/>
      <c r="C6" s="128" t="s">
        <v>199</v>
      </c>
      <c r="D6" s="119"/>
      <c r="E6" s="118"/>
      <c r="F6" s="128" t="s">
        <v>200</v>
      </c>
      <c r="G6" s="25"/>
      <c r="H6" s="106"/>
    </row>
    <row r="7" spans="1:17" ht="15" customHeight="1" x14ac:dyDescent="0.35">
      <c r="A7" s="106"/>
      <c r="B7"/>
      <c r="C7" s="81" t="s">
        <v>203</v>
      </c>
      <c r="D7" s="140">
        <v>2025</v>
      </c>
      <c r="E7" s="140">
        <v>2035</v>
      </c>
      <c r="F7" s="140">
        <v>2027</v>
      </c>
      <c r="G7" s="25"/>
      <c r="H7" s="106"/>
    </row>
    <row r="8" spans="1:17" ht="15" customHeight="1" x14ac:dyDescent="0.35">
      <c r="A8" s="106"/>
      <c r="B8"/>
      <c r="C8" s="128" t="s">
        <v>321</v>
      </c>
      <c r="D8" s="257"/>
      <c r="E8" s="257"/>
      <c r="F8" s="257"/>
      <c r="G8" s="25"/>
      <c r="H8" s="106"/>
    </row>
    <row r="9" spans="1:17" ht="15" customHeight="1" x14ac:dyDescent="0.35">
      <c r="A9" s="106"/>
      <c r="B9"/>
      <c r="C9" s="81" t="s">
        <v>323</v>
      </c>
      <c r="D9" s="19"/>
      <c r="E9" s="19"/>
      <c r="F9" s="19">
        <v>10</v>
      </c>
      <c r="G9" s="25"/>
      <c r="H9" s="106"/>
      <c r="J9" s="253"/>
    </row>
    <row r="10" spans="1:17" ht="15" customHeight="1" x14ac:dyDescent="0.35">
      <c r="A10" s="106"/>
      <c r="B10"/>
      <c r="C10" s="85" t="s">
        <v>365</v>
      </c>
      <c r="D10" s="19"/>
      <c r="E10" s="19"/>
      <c r="F10" s="19">
        <v>10</v>
      </c>
      <c r="G10" s="25"/>
      <c r="H10" s="106"/>
      <c r="J10" s="253"/>
    </row>
    <row r="11" spans="1:17" x14ac:dyDescent="0.35">
      <c r="A11" s="106"/>
      <c r="B11"/>
      <c r="C11" s="81" t="s">
        <v>441</v>
      </c>
      <c r="D11" s="19"/>
      <c r="E11" s="19"/>
      <c r="F11" s="252">
        <v>2.5</v>
      </c>
      <c r="G11" s="25"/>
      <c r="H11" s="106"/>
      <c r="J11" s="253"/>
    </row>
    <row r="12" spans="1:17" x14ac:dyDescent="0.35">
      <c r="A12" s="106"/>
      <c r="B12"/>
      <c r="C12" s="128" t="s">
        <v>324</v>
      </c>
      <c r="D12" s="173"/>
      <c r="E12" s="173"/>
      <c r="F12" s="173"/>
      <c r="G12" s="25"/>
      <c r="H12" s="106"/>
      <c r="J12" s="253"/>
      <c r="K12" s="253"/>
    </row>
    <row r="13" spans="1:17" ht="15" customHeight="1" x14ac:dyDescent="0.35">
      <c r="A13" s="106"/>
      <c r="B13"/>
      <c r="C13" s="81" t="s">
        <v>322</v>
      </c>
      <c r="D13" s="19"/>
      <c r="E13" s="19"/>
      <c r="F13" s="19">
        <v>12</v>
      </c>
      <c r="G13" s="25"/>
      <c r="H13" s="106"/>
      <c r="K13" s="253"/>
    </row>
    <row r="14" spans="1:17" ht="15" customHeight="1" x14ac:dyDescent="0.35">
      <c r="A14" s="106"/>
      <c r="B14"/>
      <c r="C14" s="85" t="s">
        <v>365</v>
      </c>
      <c r="D14" s="19"/>
      <c r="E14" s="19"/>
      <c r="F14" s="19">
        <v>15</v>
      </c>
      <c r="G14" s="25"/>
      <c r="H14" s="106"/>
      <c r="J14" s="216"/>
      <c r="K14" s="253"/>
    </row>
    <row r="15" spans="1:17" ht="15" customHeight="1" x14ac:dyDescent="0.35">
      <c r="A15" s="106"/>
      <c r="B15"/>
      <c r="C15" s="81" t="s">
        <v>442</v>
      </c>
      <c r="D15" s="255"/>
      <c r="E15" s="256"/>
      <c r="F15" s="252">
        <v>4.5</v>
      </c>
      <c r="G15" s="25"/>
      <c r="H15" s="106"/>
      <c r="J15" s="216"/>
      <c r="K15" s="253"/>
    </row>
    <row r="16" spans="1:17" ht="15" customHeight="1" x14ac:dyDescent="0.35">
      <c r="A16" s="106"/>
      <c r="B16"/>
      <c r="C16"/>
      <c r="D16" s="90"/>
      <c r="E16" s="90"/>
      <c r="F16" s="90"/>
      <c r="G16" s="25"/>
      <c r="H16" s="106"/>
      <c r="J16" s="216"/>
      <c r="L16" s="216"/>
      <c r="P16" s="239"/>
      <c r="Q16" s="239"/>
    </row>
    <row r="17" spans="1:28" ht="15" customHeight="1" x14ac:dyDescent="0.35">
      <c r="A17" s="106"/>
      <c r="B17"/>
      <c r="C17" s="442" t="s">
        <v>195</v>
      </c>
      <c r="D17" s="442"/>
      <c r="E17" s="442"/>
      <c r="F17" s="442"/>
      <c r="G17" s="25"/>
      <c r="H17" s="106"/>
      <c r="J17" s="254"/>
      <c r="L17" s="216"/>
      <c r="P17" s="239"/>
      <c r="Q17" s="239"/>
    </row>
    <row r="18" spans="1:28" ht="15" customHeight="1" x14ac:dyDescent="0.35">
      <c r="A18" s="106"/>
      <c r="B18"/>
      <c r="C18" s="171" t="s">
        <v>1</v>
      </c>
      <c r="D18"/>
      <c r="E18"/>
      <c r="F18"/>
      <c r="G18" s="16"/>
      <c r="H18" s="106"/>
      <c r="J18" s="216"/>
      <c r="L18" s="258"/>
      <c r="P18" s="239"/>
      <c r="Q18" s="239"/>
    </row>
    <row r="19" spans="1:28" ht="15" customHeight="1" x14ac:dyDescent="0.35">
      <c r="A19" s="106"/>
      <c r="B19"/>
      <c r="C19" s="81" t="s">
        <v>443</v>
      </c>
      <c r="D19" s="51"/>
      <c r="E19" s="51"/>
      <c r="F19" s="51">
        <v>1.2</v>
      </c>
      <c r="G19" s="16"/>
      <c r="H19" s="106"/>
      <c r="J19" s="216"/>
      <c r="L19" s="258"/>
      <c r="P19" s="239"/>
      <c r="Q19" s="239"/>
    </row>
    <row r="20" spans="1:28" ht="15" customHeight="1" x14ac:dyDescent="0.35">
      <c r="A20" s="106"/>
      <c r="B20"/>
      <c r="C20" s="81" t="s">
        <v>105</v>
      </c>
      <c r="D20" s="52"/>
      <c r="E20" s="52"/>
      <c r="F20" s="52">
        <v>250</v>
      </c>
      <c r="G20" s="60"/>
      <c r="H20" s="106"/>
      <c r="J20" s="238"/>
    </row>
    <row r="21" spans="1:28" x14ac:dyDescent="0.35">
      <c r="A21" s="106"/>
      <c r="B21"/>
      <c r="C21" s="81" t="s">
        <v>328</v>
      </c>
      <c r="D21" s="52"/>
      <c r="E21" s="52"/>
      <c r="F21" s="54">
        <f>1/F19</f>
        <v>0.83333333333333337</v>
      </c>
      <c r="G21" s="16"/>
      <c r="H21" s="106"/>
    </row>
    <row r="22" spans="1:28" x14ac:dyDescent="0.35">
      <c r="A22" s="106"/>
      <c r="B22"/>
      <c r="C22" s="81" t="s">
        <v>329</v>
      </c>
      <c r="D22" s="69"/>
      <c r="E22" s="69"/>
      <c r="F22" s="54">
        <v>0.9</v>
      </c>
      <c r="G22" s="16"/>
      <c r="H22" s="106"/>
      <c r="X22" s="78"/>
      <c r="Y22" s="78"/>
      <c r="Z22" s="78"/>
      <c r="AA22" s="78"/>
      <c r="AB22" s="78"/>
    </row>
    <row r="23" spans="1:28" x14ac:dyDescent="0.35">
      <c r="A23" s="106"/>
      <c r="B23"/>
      <c r="C23" s="81" t="s">
        <v>374</v>
      </c>
      <c r="D23" s="54"/>
      <c r="E23" s="54"/>
      <c r="F23" s="54">
        <v>5</v>
      </c>
      <c r="G23" s="16"/>
      <c r="H23" s="106"/>
      <c r="X23" s="78"/>
      <c r="Y23" s="78"/>
      <c r="Z23" s="78"/>
      <c r="AA23" s="78"/>
      <c r="AB23" s="78"/>
    </row>
    <row r="24" spans="1:28" x14ac:dyDescent="0.35">
      <c r="A24" s="106"/>
      <c r="B24"/>
      <c r="C24" s="50" t="s">
        <v>325</v>
      </c>
      <c r="D24" s="2"/>
      <c r="E24" s="2"/>
      <c r="F24" s="2"/>
      <c r="G24" s="16"/>
      <c r="H24" s="106"/>
      <c r="X24" s="78"/>
      <c r="Y24" s="78"/>
      <c r="Z24" s="78"/>
      <c r="AA24" s="78"/>
      <c r="AB24" s="78"/>
    </row>
    <row r="25" spans="1:28" x14ac:dyDescent="0.35">
      <c r="A25" s="106"/>
      <c r="B25"/>
      <c r="C25" s="89" t="s">
        <v>167</v>
      </c>
      <c r="D25" s="304">
        <f>'2025ER'!I5</f>
        <v>291.52608307900914</v>
      </c>
      <c r="E25" s="304">
        <f>'2035ER'!I5</f>
        <v>160.82421620503999</v>
      </c>
      <c r="F25" s="54">
        <f>IF($F$7&gt;2035,E25,TREND(D25:E25,$D$7:$E$7,$F$7))</f>
        <v>265.38570970421642</v>
      </c>
      <c r="G25" s="16"/>
      <c r="H25" s="106"/>
      <c r="X25" s="78"/>
      <c r="Y25" s="78"/>
      <c r="Z25" s="78"/>
      <c r="AA25" s="78"/>
      <c r="AB25" s="78"/>
    </row>
    <row r="26" spans="1:28" x14ac:dyDescent="0.35">
      <c r="A26" s="106"/>
      <c r="B26"/>
      <c r="C26" s="89" t="s">
        <v>168</v>
      </c>
      <c r="D26" s="68">
        <f>'2025ER'!I22</f>
        <v>0.13145466692786012</v>
      </c>
      <c r="E26" s="68">
        <f>'2035ER'!I22</f>
        <v>1.6214293245889414E-2</v>
      </c>
      <c r="F26" s="54">
        <f t="shared" ref="F26:F31" si="0">IF($F$7&gt;2035,E26,TREND(D26:E26,$D$7:$E$7,$F$7))</f>
        <v>0.10840659219146431</v>
      </c>
      <c r="G26" s="16"/>
      <c r="H26" s="106"/>
      <c r="Z26" s="78"/>
      <c r="AA26" s="78"/>
      <c r="AB26" s="78"/>
    </row>
    <row r="27" spans="1:28" x14ac:dyDescent="0.35">
      <c r="A27" s="106"/>
      <c r="B27"/>
      <c r="C27" s="89" t="s">
        <v>169</v>
      </c>
      <c r="D27" s="303">
        <f>'2025ER'!I39</f>
        <v>2.6350581764428382E-3</v>
      </c>
      <c r="E27" s="303">
        <f>'2035ER'!I39</f>
        <v>9.678746163788055E-4</v>
      </c>
      <c r="F27" s="54">
        <f t="shared" si="0"/>
        <v>2.3016214644300259E-3</v>
      </c>
      <c r="G27" s="16"/>
      <c r="H27" s="106"/>
      <c r="Z27" s="78"/>
      <c r="AA27" s="78"/>
      <c r="AB27" s="78"/>
    </row>
    <row r="28" spans="1:28" x14ac:dyDescent="0.35">
      <c r="A28" s="106"/>
      <c r="B28"/>
      <c r="C28" s="89" t="s">
        <v>170</v>
      </c>
      <c r="D28" s="68">
        <f>'2025ER'!I56</f>
        <v>0.12918463409807573</v>
      </c>
      <c r="E28" s="68">
        <f>'2035ER'!I56</f>
        <v>1.5995456495301826E-2</v>
      </c>
      <c r="F28" s="54">
        <f t="shared" si="0"/>
        <v>0.10654679857752214</v>
      </c>
      <c r="G28" s="16"/>
      <c r="H28" s="106"/>
      <c r="X28" s="78"/>
      <c r="Y28" s="78"/>
      <c r="Z28" s="78"/>
      <c r="AA28" s="78"/>
      <c r="AB28" s="78"/>
    </row>
    <row r="29" spans="1:28" x14ac:dyDescent="0.35">
      <c r="A29" s="106"/>
      <c r="B29"/>
      <c r="C29" s="89" t="s">
        <v>171</v>
      </c>
      <c r="D29" s="68">
        <f>'2025ER'!I73</f>
        <v>8.4787773979186035E-2</v>
      </c>
      <c r="E29" s="68">
        <f>'2035ER'!I73</f>
        <v>3.9150606520751904E-2</v>
      </c>
      <c r="F29" s="54">
        <f t="shared" si="0"/>
        <v>7.5660340487498701E-2</v>
      </c>
      <c r="G29" s="16"/>
      <c r="H29" s="106"/>
      <c r="I29" s="238"/>
      <c r="X29" s="78"/>
      <c r="Y29" s="78"/>
      <c r="Z29" s="78"/>
      <c r="AA29" s="78"/>
      <c r="AB29" s="78"/>
    </row>
    <row r="30" spans="1:28" x14ac:dyDescent="0.35">
      <c r="A30" s="106"/>
      <c r="B30"/>
      <c r="C30" s="89" t="s">
        <v>401</v>
      </c>
      <c r="D30" s="303">
        <f>'2025ER'!I90</f>
        <v>1.9839139389332865E-3</v>
      </c>
      <c r="E30" s="303">
        <f>'2035ER'!I90</f>
        <v>1.0963293678760368E-3</v>
      </c>
      <c r="F30" s="54">
        <f t="shared" si="0"/>
        <v>1.8063970247218231E-3</v>
      </c>
      <c r="G30" s="16"/>
      <c r="H30" s="106"/>
      <c r="I30" s="238"/>
      <c r="X30" s="78"/>
      <c r="Y30" s="78"/>
      <c r="Z30" s="78"/>
      <c r="AA30" s="78"/>
      <c r="AB30" s="78"/>
    </row>
    <row r="31" spans="1:28" x14ac:dyDescent="0.35">
      <c r="A31" s="106"/>
      <c r="B31"/>
      <c r="C31" s="89" t="s">
        <v>402</v>
      </c>
      <c r="D31" s="68">
        <f>'2025ER'!I107</f>
        <v>2.4444866254681359</v>
      </c>
      <c r="E31" s="68">
        <f>'2035ER'!I107</f>
        <v>1.093425148663719</v>
      </c>
      <c r="F31" s="54">
        <f t="shared" si="0"/>
        <v>2.1742743301072665</v>
      </c>
      <c r="G31" s="16"/>
      <c r="H31" s="106"/>
      <c r="I31" s="238"/>
      <c r="Z31" s="78"/>
      <c r="AA31" s="78"/>
      <c r="AB31" s="78"/>
    </row>
    <row r="32" spans="1:28" x14ac:dyDescent="0.35">
      <c r="A32" s="106"/>
      <c r="B32"/>
      <c r="C32" s="50" t="s">
        <v>326</v>
      </c>
      <c r="D32" s="2"/>
      <c r="E32" s="2"/>
      <c r="F32" s="2"/>
      <c r="G32" s="16"/>
      <c r="H32" s="106"/>
      <c r="I32" s="240"/>
      <c r="Z32" s="78"/>
      <c r="AA32" s="78"/>
      <c r="AB32" s="78"/>
    </row>
    <row r="33" spans="1:28" x14ac:dyDescent="0.35">
      <c r="A33" s="106"/>
      <c r="B33"/>
      <c r="C33" s="89" t="s">
        <v>167</v>
      </c>
      <c r="D33" s="304">
        <f>'2025ER'!N5</f>
        <v>373.69675359579321</v>
      </c>
      <c r="E33" s="304">
        <f>'2035ER'!N5</f>
        <v>240.97930787474459</v>
      </c>
      <c r="F33" s="54">
        <f>IF($F$7&gt;2035,E33,TREND(D33:E33,$D$7:$E$7,$F$7))</f>
        <v>347.1532644515828</v>
      </c>
      <c r="G33" s="16"/>
      <c r="H33" s="106"/>
      <c r="I33" s="240"/>
      <c r="Z33" s="78"/>
      <c r="AA33" s="78"/>
      <c r="AB33" s="78"/>
    </row>
    <row r="34" spans="1:28" x14ac:dyDescent="0.35">
      <c r="A34" s="106"/>
      <c r="B34"/>
      <c r="C34" s="89" t="s">
        <v>168</v>
      </c>
      <c r="D34" s="68">
        <f>'2025ER'!N22</f>
        <v>0.30937373033378418</v>
      </c>
      <c r="E34" s="68">
        <f>'2035ER'!N22</f>
        <v>3.035399429028976E-2</v>
      </c>
      <c r="F34" s="54">
        <f t="shared" ref="F34:F39" si="1">IF($F$7&gt;2035,E34,TREND(D34:E34,$D$7:$E$7,$F$7))</f>
        <v>0.25356978312508716</v>
      </c>
      <c r="G34" s="16"/>
      <c r="H34" s="106"/>
      <c r="I34" s="240"/>
      <c r="Z34" s="78"/>
      <c r="AA34" s="78"/>
      <c r="AB34" s="78"/>
    </row>
    <row r="35" spans="1:28" x14ac:dyDescent="0.35">
      <c r="A35" s="106"/>
      <c r="B35"/>
      <c r="C35" s="89" t="s">
        <v>169</v>
      </c>
      <c r="D35" s="303">
        <f>'2025ER'!N39</f>
        <v>5.5074284231826157E-3</v>
      </c>
      <c r="E35" s="303">
        <f>'2035ER'!N39</f>
        <v>1.493639164800696E-3</v>
      </c>
      <c r="F35" s="54">
        <f t="shared" si="1"/>
        <v>4.7046705715062531E-3</v>
      </c>
      <c r="G35" s="16"/>
      <c r="H35" s="106"/>
      <c r="Z35" s="78"/>
      <c r="AA35" s="78"/>
      <c r="AB35" s="78"/>
    </row>
    <row r="36" spans="1:28" x14ac:dyDescent="0.35">
      <c r="A36" s="106"/>
      <c r="B36"/>
      <c r="C36" s="89" t="s">
        <v>170</v>
      </c>
      <c r="D36" s="68">
        <f>'2025ER'!N56</f>
        <v>0.3041146667263126</v>
      </c>
      <c r="E36" s="68">
        <f>'2035ER'!N56</f>
        <v>3.0048147190216482E-2</v>
      </c>
      <c r="F36" s="54">
        <f t="shared" si="1"/>
        <v>0.24930136281909654</v>
      </c>
      <c r="G36" s="16"/>
      <c r="H36" s="106"/>
      <c r="Z36" s="78"/>
      <c r="AA36" s="78"/>
      <c r="AB36" s="78"/>
    </row>
    <row r="37" spans="1:28" x14ac:dyDescent="0.35">
      <c r="A37" s="106"/>
      <c r="B37"/>
      <c r="C37" s="89" t="s">
        <v>171</v>
      </c>
      <c r="D37" s="68">
        <f>'2025ER'!N73</f>
        <v>0.147468539332961</v>
      </c>
      <c r="E37" s="68">
        <f>'2035ER'!N73</f>
        <v>5.6788340360950859E-2</v>
      </c>
      <c r="F37" s="54">
        <f t="shared" si="1"/>
        <v>0.12933249953855963</v>
      </c>
      <c r="G37" s="16"/>
      <c r="H37" s="106"/>
      <c r="Z37" s="78"/>
      <c r="AA37" s="78"/>
      <c r="AB37" s="78"/>
    </row>
    <row r="38" spans="1:28" x14ac:dyDescent="0.35">
      <c r="A38" s="106"/>
      <c r="B38"/>
      <c r="C38" s="89" t="s">
        <v>401</v>
      </c>
      <c r="D38" s="303">
        <f>'2025ER'!N90</f>
        <v>2.5151521753286879E-3</v>
      </c>
      <c r="E38" s="303">
        <f>'2035ER'!N90</f>
        <v>1.631607720628376E-3</v>
      </c>
      <c r="F38" s="54">
        <f t="shared" si="1"/>
        <v>2.3384432843886194E-3</v>
      </c>
      <c r="G38" s="16"/>
      <c r="H38" s="106"/>
      <c r="Z38" s="78"/>
      <c r="AA38" s="78"/>
      <c r="AB38" s="78"/>
    </row>
    <row r="39" spans="1:28" x14ac:dyDescent="0.35">
      <c r="A39" s="106"/>
      <c r="B39"/>
      <c r="C39" s="89" t="s">
        <v>402</v>
      </c>
      <c r="D39" s="68">
        <f>'2025ER'!N107</f>
        <v>3.0582351915014359</v>
      </c>
      <c r="E39" s="68">
        <f>'2035ER'!N107</f>
        <v>1.416138222149788</v>
      </c>
      <c r="F39" s="54">
        <f t="shared" si="1"/>
        <v>2.7298157976310904</v>
      </c>
      <c r="G39" s="16"/>
      <c r="H39" s="106"/>
      <c r="Z39" s="78"/>
      <c r="AA39" s="78"/>
      <c r="AB39" s="78"/>
    </row>
    <row r="40" spans="1:28" x14ac:dyDescent="0.35">
      <c r="A40" s="106"/>
      <c r="B40"/>
      <c r="C40"/>
      <c r="D40"/>
      <c r="E40"/>
      <c r="F40"/>
      <c r="G40" s="16"/>
      <c r="H40" s="106"/>
      <c r="Z40" s="78"/>
      <c r="AA40" s="78"/>
      <c r="AB40" s="78"/>
    </row>
    <row r="41" spans="1:28" ht="15.5" x14ac:dyDescent="0.35">
      <c r="A41" s="106"/>
      <c r="B41"/>
      <c r="C41" s="442" t="s">
        <v>192</v>
      </c>
      <c r="D41" s="442"/>
      <c r="E41" s="442"/>
      <c r="F41" s="442"/>
      <c r="G41" s="16"/>
      <c r="H41" s="106"/>
      <c r="Z41" s="78"/>
      <c r="AA41" s="78"/>
      <c r="AB41" s="78"/>
    </row>
    <row r="42" spans="1:28" ht="15.5" x14ac:dyDescent="0.35">
      <c r="A42" s="106"/>
      <c r="B42"/>
      <c r="C42" s="120" t="s">
        <v>321</v>
      </c>
      <c r="D42" s="119"/>
      <c r="E42" s="118"/>
      <c r="F42" s="120" t="s">
        <v>198</v>
      </c>
      <c r="G42" s="16"/>
      <c r="H42" s="106"/>
      <c r="Z42" s="78"/>
      <c r="AA42" s="78"/>
      <c r="AB42" s="78"/>
    </row>
    <row r="43" spans="1:28" x14ac:dyDescent="0.35">
      <c r="A43" s="106"/>
      <c r="B43"/>
      <c r="C43" s="172" t="s">
        <v>334</v>
      </c>
      <c r="D43" s="53"/>
      <c r="E43" s="53"/>
      <c r="F43" s="53">
        <f>F9*F11*2*F20</f>
        <v>12500</v>
      </c>
      <c r="G43"/>
      <c r="H43" s="106"/>
      <c r="Z43" s="78"/>
      <c r="AA43" s="78"/>
      <c r="AB43" s="78"/>
    </row>
    <row r="44" spans="1:28" x14ac:dyDescent="0.35">
      <c r="A44" s="106"/>
      <c r="B44"/>
      <c r="C44" s="172" t="s">
        <v>340</v>
      </c>
      <c r="D44" s="184"/>
      <c r="E44" s="184"/>
      <c r="F44" s="70">
        <f>F43*F21</f>
        <v>10416.666666666668</v>
      </c>
      <c r="G44"/>
      <c r="H44" s="106"/>
      <c r="Z44" s="78"/>
      <c r="AA44" s="78"/>
      <c r="AB44" s="78"/>
    </row>
    <row r="45" spans="1:28" x14ac:dyDescent="0.35">
      <c r="A45" s="106"/>
      <c r="B45"/>
      <c r="C45" s="172" t="s">
        <v>339</v>
      </c>
      <c r="D45" s="70"/>
      <c r="E45" s="70"/>
      <c r="F45" s="70">
        <f>F44*F22</f>
        <v>9375.0000000000018</v>
      </c>
      <c r="G45"/>
      <c r="H45" s="106"/>
    </row>
    <row r="46" spans="1:28" x14ac:dyDescent="0.35">
      <c r="A46" s="106"/>
      <c r="B46"/>
      <c r="C46" s="172" t="s">
        <v>332</v>
      </c>
      <c r="D46" s="184"/>
      <c r="E46" s="184"/>
      <c r="F46" s="184">
        <f>(F10*F9)*F20*2</f>
        <v>50000</v>
      </c>
      <c r="G46"/>
      <c r="H46" s="106"/>
      <c r="K46" s="238"/>
      <c r="L46" s="238"/>
    </row>
    <row r="47" spans="1:28" x14ac:dyDescent="0.35">
      <c r="A47" s="106"/>
      <c r="B47"/>
      <c r="C47" s="172" t="s">
        <v>341</v>
      </c>
      <c r="D47" s="70"/>
      <c r="E47" s="70"/>
      <c r="F47" s="70">
        <f>(F44*F10)-(F45*F23)</f>
        <v>57291.666666666679</v>
      </c>
      <c r="G47"/>
      <c r="H47" s="106"/>
    </row>
    <row r="48" spans="1:28" x14ac:dyDescent="0.35">
      <c r="A48" s="106"/>
      <c r="B48"/>
      <c r="C48" s="172" t="s">
        <v>342</v>
      </c>
      <c r="D48" s="70"/>
      <c r="E48" s="70"/>
      <c r="F48" s="70">
        <f>F47-F46</f>
        <v>7291.6666666666788</v>
      </c>
      <c r="G48"/>
      <c r="H48" s="106"/>
    </row>
    <row r="49" spans="1:12" ht="15.5" x14ac:dyDescent="0.35">
      <c r="A49" s="106"/>
      <c r="B49"/>
      <c r="C49" s="120" t="s">
        <v>324</v>
      </c>
      <c r="D49" s="119"/>
      <c r="E49" s="118"/>
      <c r="F49" s="120" t="s">
        <v>198</v>
      </c>
      <c r="G49"/>
      <c r="H49" s="106"/>
    </row>
    <row r="50" spans="1:12" x14ac:dyDescent="0.35">
      <c r="A50" s="106"/>
      <c r="B50"/>
      <c r="C50" s="172" t="s">
        <v>335</v>
      </c>
      <c r="D50" s="53"/>
      <c r="E50" s="53"/>
      <c r="F50" s="53">
        <f>F13*F15*2*F20</f>
        <v>27000</v>
      </c>
      <c r="G50"/>
      <c r="H50" s="106"/>
      <c r="L50" s="260"/>
    </row>
    <row r="51" spans="1:12" x14ac:dyDescent="0.35">
      <c r="A51" s="106"/>
      <c r="B51"/>
      <c r="C51" s="172" t="s">
        <v>340</v>
      </c>
      <c r="D51" s="184"/>
      <c r="E51" s="184"/>
      <c r="F51" s="184">
        <f>F50*F21</f>
        <v>22500</v>
      </c>
      <c r="G51" s="16"/>
      <c r="H51" s="106"/>
    </row>
    <row r="52" spans="1:12" x14ac:dyDescent="0.35">
      <c r="A52" s="106"/>
      <c r="B52"/>
      <c r="C52" s="172" t="s">
        <v>339</v>
      </c>
      <c r="D52" s="70"/>
      <c r="E52" s="70"/>
      <c r="F52" s="70">
        <f>F51*F22</f>
        <v>20250</v>
      </c>
      <c r="G52" s="16"/>
      <c r="H52" s="106"/>
    </row>
    <row r="53" spans="1:12" x14ac:dyDescent="0.35">
      <c r="A53" s="106"/>
      <c r="B53"/>
      <c r="C53" s="172" t="s">
        <v>333</v>
      </c>
      <c r="D53" s="184"/>
      <c r="E53" s="184"/>
      <c r="F53" s="184">
        <f>(F14*F13)*F20*2</f>
        <v>90000</v>
      </c>
      <c r="G53" s="16"/>
      <c r="H53" s="106"/>
    </row>
    <row r="54" spans="1:12" x14ac:dyDescent="0.35">
      <c r="A54" s="106"/>
      <c r="B54"/>
      <c r="C54" s="172" t="s">
        <v>343</v>
      </c>
      <c r="D54" s="70"/>
      <c r="E54" s="70"/>
      <c r="F54" s="70">
        <f>(F51*F14)-(F52*F23)</f>
        <v>236250</v>
      </c>
      <c r="G54" s="16"/>
      <c r="H54" s="106"/>
    </row>
    <row r="55" spans="1:12" x14ac:dyDescent="0.35">
      <c r="A55" s="106"/>
      <c r="B55"/>
      <c r="C55" s="172" t="s">
        <v>344</v>
      </c>
      <c r="D55" s="70"/>
      <c r="E55" s="70"/>
      <c r="F55" s="70">
        <f>F54-F53</f>
        <v>146250</v>
      </c>
      <c r="G55" s="16"/>
      <c r="H55" s="106"/>
    </row>
    <row r="56" spans="1:12" x14ac:dyDescent="0.35">
      <c r="A56" s="106"/>
      <c r="B56"/>
      <c r="C56"/>
      <c r="D56" s="55"/>
      <c r="E56" s="55"/>
      <c r="F56" s="55"/>
      <c r="G56" s="16"/>
      <c r="H56" s="106"/>
      <c r="I56" s="259"/>
    </row>
    <row r="57" spans="1:12" ht="15.5" x14ac:dyDescent="0.35">
      <c r="A57" s="106"/>
      <c r="B57"/>
      <c r="C57" s="439" t="s">
        <v>193</v>
      </c>
      <c r="D57" s="439"/>
      <c r="E57" s="439"/>
      <c r="F57" s="439"/>
      <c r="G57" s="16"/>
      <c r="H57" s="106"/>
    </row>
    <row r="58" spans="1:12" ht="15" thickBot="1" x14ac:dyDescent="0.4">
      <c r="A58" s="106"/>
      <c r="B58"/>
      <c r="C58" s="131" t="s">
        <v>194</v>
      </c>
      <c r="D58" s="131"/>
      <c r="E58" s="131"/>
      <c r="F58" s="131"/>
      <c r="G58" s="16"/>
      <c r="H58" s="106"/>
    </row>
    <row r="59" spans="1:12" x14ac:dyDescent="0.35">
      <c r="A59" s="106"/>
      <c r="B59" s="84"/>
      <c r="C59" s="167" t="s">
        <v>54</v>
      </c>
      <c r="D59" s="276"/>
      <c r="E59" s="274"/>
      <c r="F59" s="207" t="s">
        <v>109</v>
      </c>
      <c r="G59" s="16"/>
      <c r="H59" s="106"/>
    </row>
    <row r="60" spans="1:12" ht="15" thickBot="1" x14ac:dyDescent="0.4">
      <c r="A60" s="106"/>
      <c r="B60" s="84"/>
      <c r="C60" s="169" t="s">
        <v>266</v>
      </c>
      <c r="D60" s="278"/>
      <c r="E60" s="275"/>
      <c r="F60" s="209">
        <f>F48+F55</f>
        <v>153541.66666666669</v>
      </c>
      <c r="G60" s="16"/>
      <c r="H60" s="106"/>
    </row>
    <row r="61" spans="1:12" x14ac:dyDescent="0.35">
      <c r="A61" s="106"/>
      <c r="B61"/>
      <c r="C61"/>
      <c r="D61"/>
      <c r="E61"/>
      <c r="F61"/>
      <c r="G61" s="16"/>
      <c r="H61" s="106"/>
    </row>
    <row r="62" spans="1:12" ht="15" thickBot="1" x14ac:dyDescent="0.4">
      <c r="A62" s="106"/>
      <c r="B62"/>
      <c r="C62" s="131" t="s">
        <v>331</v>
      </c>
      <c r="D62" s="36"/>
      <c r="E62" s="36"/>
      <c r="F62" s="36"/>
      <c r="G62"/>
      <c r="H62" s="106"/>
    </row>
    <row r="63" spans="1:12" x14ac:dyDescent="0.35">
      <c r="A63" s="106"/>
      <c r="B63" s="84"/>
      <c r="C63" s="167" t="s">
        <v>407</v>
      </c>
      <c r="D63" s="406"/>
      <c r="E63" s="407"/>
      <c r="F63" s="404">
        <f>($F$46*F25)+($F$53*F25)</f>
        <v>37153999.358590297</v>
      </c>
      <c r="G63"/>
      <c r="H63" s="106"/>
    </row>
    <row r="64" spans="1:12" x14ac:dyDescent="0.35">
      <c r="A64" s="106"/>
      <c r="B64" s="84"/>
      <c r="C64" s="168" t="s">
        <v>408</v>
      </c>
      <c r="D64" s="408"/>
      <c r="E64" s="409"/>
      <c r="F64" s="405">
        <f>($F$46*F26)+($F$53*F26)</f>
        <v>15176.922906805004</v>
      </c>
      <c r="G64"/>
      <c r="H64" s="106"/>
    </row>
    <row r="65" spans="1:11" x14ac:dyDescent="0.35">
      <c r="A65" s="106"/>
      <c r="B65" s="84"/>
      <c r="C65" s="168" t="s">
        <v>409</v>
      </c>
      <c r="D65" s="408"/>
      <c r="E65" s="409"/>
      <c r="F65" s="405">
        <f>($F$46*F27)+($F$53*F27)</f>
        <v>322.22700502020359</v>
      </c>
      <c r="G65"/>
      <c r="H65" s="106"/>
      <c r="J65" s="260"/>
    </row>
    <row r="66" spans="1:11" x14ac:dyDescent="0.35">
      <c r="A66" s="106"/>
      <c r="B66" s="84"/>
      <c r="C66" s="168" t="s">
        <v>410</v>
      </c>
      <c r="D66" s="408"/>
      <c r="E66" s="409"/>
      <c r="F66" s="405">
        <f>($F$46*F28)+($F$53*F28)</f>
        <v>14916.5518008531</v>
      </c>
      <c r="G66"/>
      <c r="H66" s="106"/>
    </row>
    <row r="67" spans="1:11" x14ac:dyDescent="0.35">
      <c r="A67" s="106"/>
      <c r="B67" s="84"/>
      <c r="C67" s="117" t="s">
        <v>411</v>
      </c>
      <c r="D67" s="408"/>
      <c r="E67" s="409"/>
      <c r="F67" s="405">
        <f>($F$46*F29)+($F$53*F29)</f>
        <v>10592.447668249817</v>
      </c>
      <c r="G67"/>
      <c r="H67" s="106"/>
    </row>
    <row r="68" spans="1:11" x14ac:dyDescent="0.35">
      <c r="A68" s="106"/>
      <c r="B68" s="84"/>
      <c r="C68" s="168" t="s">
        <v>412</v>
      </c>
      <c r="D68" s="410"/>
      <c r="E68" s="409"/>
      <c r="F68" s="405">
        <f t="shared" ref="F68:F69" si="2">($F$46*F30)+($F$53*F30)</f>
        <v>252.89558346105522</v>
      </c>
      <c r="G68"/>
      <c r="H68" s="106"/>
    </row>
    <row r="69" spans="1:11" ht="15" thickBot="1" x14ac:dyDescent="0.4">
      <c r="A69" s="106"/>
      <c r="B69" s="84"/>
      <c r="C69" s="169" t="s">
        <v>413</v>
      </c>
      <c r="D69" s="411"/>
      <c r="E69" s="412"/>
      <c r="F69" s="405">
        <f t="shared" si="2"/>
        <v>304398.40621501731</v>
      </c>
      <c r="G69"/>
      <c r="H69" s="106"/>
    </row>
    <row r="70" spans="1:11" ht="15" thickBot="1" x14ac:dyDescent="0.4">
      <c r="A70" s="106"/>
      <c r="B70"/>
      <c r="C70" s="318" t="s">
        <v>202</v>
      </c>
      <c r="D70"/>
      <c r="E70"/>
      <c r="F70" s="331"/>
      <c r="G70"/>
      <c r="H70" s="106"/>
    </row>
    <row r="71" spans="1:11" x14ac:dyDescent="0.35">
      <c r="A71" s="106"/>
      <c r="B71"/>
      <c r="C71" s="338" t="s">
        <v>463</v>
      </c>
      <c r="D71" s="380"/>
      <c r="E71" s="380"/>
      <c r="F71" s="364">
        <f>(($F$47*F25)+($F$54*F33)-F63)/1000</f>
        <v>60065.348986566882</v>
      </c>
      <c r="G71"/>
      <c r="H71" s="106"/>
    </row>
    <row r="72" spans="1:11" x14ac:dyDescent="0.35">
      <c r="A72" s="106"/>
      <c r="B72"/>
      <c r="C72" s="342" t="s">
        <v>488</v>
      </c>
      <c r="D72" s="381"/>
      <c r="E72" s="381"/>
      <c r="F72" s="365">
        <f t="shared" ref="F72:F77" si="3">(($F$47*F26)+($F$54*F34)-F64)/1000</f>
        <v>50.939732700799475</v>
      </c>
      <c r="G72" s="155" t="s">
        <v>511</v>
      </c>
      <c r="H72" s="106"/>
    </row>
    <row r="73" spans="1:11" x14ac:dyDescent="0.35">
      <c r="A73" s="106"/>
      <c r="B73"/>
      <c r="C73" s="342" t="s">
        <v>489</v>
      </c>
      <c r="D73" s="381"/>
      <c r="E73" s="381"/>
      <c r="F73" s="365">
        <f t="shared" si="3"/>
        <v>0.92111514723111909</v>
      </c>
      <c r="G73" s="155" t="s">
        <v>511</v>
      </c>
      <c r="H73" s="106"/>
      <c r="K73" s="260"/>
    </row>
    <row r="74" spans="1:11" x14ac:dyDescent="0.35">
      <c r="A74" s="106"/>
      <c r="B74"/>
      <c r="C74" s="342" t="s">
        <v>464</v>
      </c>
      <c r="D74" s="381"/>
      <c r="E74" s="381"/>
      <c r="F74" s="365">
        <f t="shared" si="3"/>
        <v>50.085138833662327</v>
      </c>
      <c r="G74"/>
      <c r="H74" s="106"/>
    </row>
    <row r="75" spans="1:11" x14ac:dyDescent="0.35">
      <c r="A75" s="106"/>
      <c r="B75"/>
      <c r="C75" s="342" t="s">
        <v>465</v>
      </c>
      <c r="D75" s="381"/>
      <c r="E75" s="381" t="s">
        <v>502</v>
      </c>
      <c r="F75" s="365">
        <f t="shared" si="3"/>
        <v>24.297062354831173</v>
      </c>
      <c r="G75"/>
      <c r="H75" s="106"/>
    </row>
    <row r="76" spans="1:11" x14ac:dyDescent="0.35">
      <c r="A76" s="106"/>
      <c r="B76"/>
      <c r="C76" s="342" t="s">
        <v>466</v>
      </c>
      <c r="D76" s="381"/>
      <c r="E76" s="381"/>
      <c r="F76" s="365">
        <f t="shared" si="3"/>
        <v>0.40305313868377718</v>
      </c>
      <c r="G76"/>
      <c r="H76" s="106"/>
    </row>
    <row r="77" spans="1:11" ht="15" thickBot="1" x14ac:dyDescent="0.4">
      <c r="A77" s="106"/>
      <c r="B77"/>
      <c r="C77" s="343" t="s">
        <v>467</v>
      </c>
      <c r="D77" s="382"/>
      <c r="E77" s="382"/>
      <c r="F77" s="366">
        <f t="shared" si="3"/>
        <v>465.08837613772323</v>
      </c>
      <c r="G77"/>
      <c r="H77" s="106"/>
    </row>
    <row r="78" spans="1:11" x14ac:dyDescent="0.35">
      <c r="A78" s="106"/>
      <c r="B78"/>
      <c r="C78" s="338" t="s">
        <v>474</v>
      </c>
      <c r="D78" s="329"/>
      <c r="E78" s="329"/>
      <c r="F78" s="320">
        <f>F71/F$20</f>
        <v>240.26139594626753</v>
      </c>
      <c r="G78"/>
      <c r="H78" s="106"/>
    </row>
    <row r="79" spans="1:11" x14ac:dyDescent="0.35">
      <c r="A79" s="106"/>
      <c r="B79"/>
      <c r="C79" s="342" t="s">
        <v>475</v>
      </c>
      <c r="D79" s="328"/>
      <c r="E79" s="328"/>
      <c r="F79" s="321">
        <f t="shared" ref="F79:F84" si="4">F72/F$20</f>
        <v>0.2037589308031979</v>
      </c>
      <c r="G79"/>
      <c r="H79" s="106"/>
    </row>
    <row r="80" spans="1:11" x14ac:dyDescent="0.35">
      <c r="A80" s="106"/>
      <c r="B80"/>
      <c r="C80" s="342" t="s">
        <v>476</v>
      </c>
      <c r="D80" s="328"/>
      <c r="E80" s="328"/>
      <c r="F80" s="321">
        <f t="shared" si="4"/>
        <v>3.6844605889244765E-3</v>
      </c>
      <c r="G80"/>
      <c r="H80" s="106"/>
    </row>
    <row r="81" spans="1:8" x14ac:dyDescent="0.35">
      <c r="A81" s="106"/>
      <c r="B81"/>
      <c r="C81" s="342" t="s">
        <v>498</v>
      </c>
      <c r="D81" s="328"/>
      <c r="E81" s="328"/>
      <c r="F81" s="321">
        <f t="shared" si="4"/>
        <v>0.20034055533464931</v>
      </c>
      <c r="G81" s="155" t="s">
        <v>511</v>
      </c>
      <c r="H81" s="106"/>
    </row>
    <row r="82" spans="1:8" x14ac:dyDescent="0.35">
      <c r="A82" s="106"/>
      <c r="B82"/>
      <c r="C82" s="342" t="s">
        <v>499</v>
      </c>
      <c r="D82" s="328"/>
      <c r="E82" s="328"/>
      <c r="F82" s="321">
        <f t="shared" si="4"/>
        <v>9.718824941932469E-2</v>
      </c>
      <c r="G82" s="155" t="s">
        <v>511</v>
      </c>
      <c r="H82" s="106"/>
    </row>
    <row r="83" spans="1:8" x14ac:dyDescent="0.35">
      <c r="A83" s="106"/>
      <c r="B83"/>
      <c r="C83" s="342" t="s">
        <v>478</v>
      </c>
      <c r="D83" s="328"/>
      <c r="E83" s="328"/>
      <c r="F83" s="321">
        <f t="shared" si="4"/>
        <v>1.6122125547351088E-3</v>
      </c>
      <c r="G83"/>
      <c r="H83" s="106"/>
    </row>
    <row r="84" spans="1:8" ht="15" thickBot="1" x14ac:dyDescent="0.4">
      <c r="A84" s="106"/>
      <c r="B84"/>
      <c r="C84" s="343" t="s">
        <v>500</v>
      </c>
      <c r="D84" s="330"/>
      <c r="E84" s="330"/>
      <c r="F84" s="362">
        <f t="shared" si="4"/>
        <v>1.860353504550893</v>
      </c>
      <c r="G84" s="155" t="s">
        <v>511</v>
      </c>
      <c r="H84" s="106"/>
    </row>
    <row r="85" spans="1:8" ht="15" thickBot="1" x14ac:dyDescent="0.4">
      <c r="A85" s="106"/>
      <c r="B85"/>
      <c r="C85"/>
      <c r="D85"/>
      <c r="E85"/>
      <c r="F85"/>
      <c r="G85" s="16"/>
      <c r="H85" s="106"/>
    </row>
    <row r="86" spans="1:8" x14ac:dyDescent="0.35">
      <c r="A86" s="106"/>
      <c r="B86"/>
      <c r="C86" s="338" t="s">
        <v>472</v>
      </c>
      <c r="D86" s="332"/>
      <c r="E86" s="332"/>
      <c r="F86" s="324">
        <v>1413280.8</v>
      </c>
      <c r="G86"/>
      <c r="H86" s="106"/>
    </row>
    <row r="87" spans="1:8" x14ac:dyDescent="0.35">
      <c r="A87" s="106"/>
      <c r="B87"/>
      <c r="C87" s="342" t="s">
        <v>473</v>
      </c>
      <c r="D87" s="328"/>
      <c r="E87" s="328"/>
      <c r="F87" s="369">
        <v>1</v>
      </c>
      <c r="G87"/>
      <c r="H87" s="106"/>
    </row>
    <row r="88" spans="1:8" x14ac:dyDescent="0.35">
      <c r="A88" s="106"/>
      <c r="B88"/>
      <c r="C88" s="342" t="s">
        <v>493</v>
      </c>
      <c r="D88" s="328"/>
      <c r="E88" s="328"/>
      <c r="F88" s="370">
        <f>(F$86/F$87)/F72</f>
        <v>27744.173851501568</v>
      </c>
      <c r="G88" s="155" t="s">
        <v>511</v>
      </c>
      <c r="H88" s="106"/>
    </row>
    <row r="89" spans="1:8" x14ac:dyDescent="0.35">
      <c r="A89" s="106"/>
      <c r="B89"/>
      <c r="C89" s="342" t="s">
        <v>494</v>
      </c>
      <c r="D89" s="328"/>
      <c r="E89" s="328"/>
      <c r="F89" s="370">
        <f>(F$86/F$87)/F73</f>
        <v>1534315.0139788012</v>
      </c>
      <c r="G89" s="155" t="s">
        <v>511</v>
      </c>
      <c r="H89" s="106"/>
    </row>
    <row r="90" spans="1:8" x14ac:dyDescent="0.35">
      <c r="A90" s="106"/>
      <c r="B90"/>
      <c r="C90" s="342" t="s">
        <v>495</v>
      </c>
      <c r="D90" s="328"/>
      <c r="E90" s="328"/>
      <c r="F90" s="370">
        <f>((F$86/F$87)/F$20)/F81</f>
        <v>28217.567783801987</v>
      </c>
      <c r="G90" s="155" t="s">
        <v>511</v>
      </c>
      <c r="H90" s="106"/>
    </row>
    <row r="91" spans="1:8" x14ac:dyDescent="0.35">
      <c r="A91" s="106"/>
      <c r="B91"/>
      <c r="C91" s="342" t="s">
        <v>496</v>
      </c>
      <c r="D91" s="328"/>
      <c r="E91" s="328"/>
      <c r="F91" s="370">
        <f>(F$86/F$87/F$20)/F82</f>
        <v>58166.73552385177</v>
      </c>
      <c r="G91" s="155" t="s">
        <v>511</v>
      </c>
      <c r="H91" s="106"/>
    </row>
    <row r="92" spans="1:8" ht="15" thickBot="1" x14ac:dyDescent="0.4">
      <c r="A92" s="106"/>
      <c r="B92"/>
      <c r="C92" s="343" t="s">
        <v>497</v>
      </c>
      <c r="D92" s="330"/>
      <c r="E92" s="330"/>
      <c r="F92" s="371">
        <f>(F$86/F$87/F$20)/F84</f>
        <v>3038.7360177358969</v>
      </c>
      <c r="G92" s="155" t="s">
        <v>511</v>
      </c>
      <c r="H92" s="106"/>
    </row>
    <row r="93" spans="1:8" x14ac:dyDescent="0.35">
      <c r="A93" s="106"/>
      <c r="B93"/>
      <c r="C93"/>
      <c r="D93"/>
      <c r="E93"/>
      <c r="F93"/>
      <c r="G93"/>
      <c r="H93" s="106"/>
    </row>
    <row r="94" spans="1:8" x14ac:dyDescent="0.35">
      <c r="A94" s="106"/>
      <c r="B94" s="106"/>
      <c r="C94" s="106"/>
      <c r="D94" s="106"/>
      <c r="E94" s="106"/>
      <c r="F94" s="106"/>
      <c r="G94" s="106"/>
      <c r="H94" s="106"/>
    </row>
  </sheetData>
  <mergeCells count="6">
    <mergeCell ref="C57:F57"/>
    <mergeCell ref="C2:F2"/>
    <mergeCell ref="C3:F3"/>
    <mergeCell ref="C5:F5"/>
    <mergeCell ref="C17:F17"/>
    <mergeCell ref="C41:F41"/>
  </mergeCells>
  <dataValidations count="1">
    <dataValidation type="list" allowBlank="1" showInputMessage="1" showErrorMessage="1" sqref="D13:E13 D9:E11" xr:uid="{00000000-0002-0000-0A00-000000000000}">
      <formula1>$A$337:$A$342</formula1>
    </dataValidation>
  </dataValidations>
  <printOptions headings="1" gridLines="1"/>
  <pageMargins left="0.7" right="0.7" top="0.75" bottom="0.75" header="0.3" footer="0.3"/>
  <pageSetup paperSize="17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1000000}">
          <x14:formula1>
            <xm:f>OtherVariables!$A$142:$A$147</xm:f>
          </x14:formula1>
          <xm:sqref>D12:E12</xm:sqref>
        </x14:dataValidation>
        <x14:dataValidation type="list" allowBlank="1" showInputMessage="1" showErrorMessage="1" xr:uid="{00000000-0002-0000-0A00-000002000000}">
          <x14:formula1>
            <xm:f>OtherVariables!$P$24:$P$39</xm:f>
          </x14:formula1>
          <xm:sqref>F7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V123"/>
  <sheetViews>
    <sheetView zoomScale="78" zoomScaleNormal="78" workbookViewId="0">
      <pane ySplit="4" topLeftCell="A5" activePane="bottomLeft" state="frozenSplit"/>
      <selection pane="bottomLeft" activeCell="AD27" sqref="AD27"/>
    </sheetView>
  </sheetViews>
  <sheetFormatPr defaultRowHeight="14.5" x14ac:dyDescent="0.35"/>
  <cols>
    <col min="5" max="24" width="10.453125" bestFit="1" customWidth="1"/>
    <col min="29" max="48" width="10.453125" bestFit="1" customWidth="1"/>
  </cols>
  <sheetData>
    <row r="1" spans="1:48" x14ac:dyDescent="0.35">
      <c r="A1" s="468" t="s">
        <v>380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Z1" s="467" t="s">
        <v>382</v>
      </c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</row>
    <row r="2" spans="1:48" x14ac:dyDescent="0.35">
      <c r="A2" s="372"/>
      <c r="B2" s="372"/>
      <c r="C2" s="372"/>
      <c r="D2" s="372"/>
      <c r="E2" s="468" t="s">
        <v>92</v>
      </c>
      <c r="F2" s="468"/>
      <c r="G2" s="468"/>
      <c r="H2" s="468"/>
      <c r="I2" s="468"/>
      <c r="J2" s="468" t="s">
        <v>381</v>
      </c>
      <c r="K2" s="468"/>
      <c r="L2" s="468"/>
      <c r="M2" s="468"/>
      <c r="N2" s="468"/>
      <c r="O2" s="468" t="s">
        <v>91</v>
      </c>
      <c r="P2" s="468"/>
      <c r="Q2" s="468"/>
      <c r="R2" s="468"/>
      <c r="S2" s="468"/>
      <c r="T2" s="468" t="s">
        <v>93</v>
      </c>
      <c r="U2" s="468"/>
      <c r="V2" s="468"/>
      <c r="W2" s="468"/>
      <c r="X2" s="468"/>
      <c r="Z2" s="373"/>
      <c r="AA2" s="373"/>
      <c r="AB2" s="373"/>
      <c r="AC2" s="467" t="s">
        <v>92</v>
      </c>
      <c r="AD2" s="467"/>
      <c r="AE2" s="467"/>
      <c r="AF2" s="467"/>
      <c r="AG2" s="467"/>
      <c r="AH2" s="467" t="s">
        <v>381</v>
      </c>
      <c r="AI2" s="467"/>
      <c r="AJ2" s="467"/>
      <c r="AK2" s="467"/>
      <c r="AL2" s="467"/>
      <c r="AM2" s="467" t="s">
        <v>91</v>
      </c>
      <c r="AN2" s="467"/>
      <c r="AO2" s="467"/>
      <c r="AP2" s="467"/>
      <c r="AQ2" s="467"/>
      <c r="AR2" s="467" t="s">
        <v>93</v>
      </c>
      <c r="AS2" s="467"/>
      <c r="AT2" s="467"/>
      <c r="AU2" s="467"/>
      <c r="AV2" s="467"/>
    </row>
    <row r="3" spans="1:48" x14ac:dyDescent="0.35">
      <c r="A3" s="372" t="s">
        <v>94</v>
      </c>
      <c r="B3" s="372" t="s">
        <v>95</v>
      </c>
      <c r="C3" s="372" t="s">
        <v>96</v>
      </c>
      <c r="D3" s="372" t="s">
        <v>97</v>
      </c>
      <c r="E3" s="372">
        <v>2</v>
      </c>
      <c r="F3" s="372">
        <v>3</v>
      </c>
      <c r="G3" s="372">
        <v>4</v>
      </c>
      <c r="H3" s="372">
        <v>5</v>
      </c>
      <c r="I3" s="372" t="s">
        <v>98</v>
      </c>
      <c r="J3" s="372">
        <v>2</v>
      </c>
      <c r="K3" s="372">
        <v>3</v>
      </c>
      <c r="L3" s="372">
        <v>4</v>
      </c>
      <c r="M3" s="372">
        <v>5</v>
      </c>
      <c r="N3" s="372" t="s">
        <v>98</v>
      </c>
      <c r="O3" s="372">
        <v>2</v>
      </c>
      <c r="P3" s="372">
        <v>3</v>
      </c>
      <c r="Q3" s="372">
        <v>4</v>
      </c>
      <c r="R3" s="372">
        <v>5</v>
      </c>
      <c r="S3" s="372" t="s">
        <v>98</v>
      </c>
      <c r="T3" s="372">
        <v>2</v>
      </c>
      <c r="U3" s="372">
        <v>3</v>
      </c>
      <c r="V3" s="372">
        <v>4</v>
      </c>
      <c r="W3" s="372">
        <v>5</v>
      </c>
      <c r="X3" s="372" t="s">
        <v>98</v>
      </c>
      <c r="Z3" s="373" t="s">
        <v>94</v>
      </c>
      <c r="AA3" s="373" t="s">
        <v>95</v>
      </c>
      <c r="AB3" s="373" t="s">
        <v>96</v>
      </c>
      <c r="AC3" s="373">
        <v>2</v>
      </c>
      <c r="AD3" s="373">
        <v>3</v>
      </c>
      <c r="AE3" s="373">
        <v>4</v>
      </c>
      <c r="AF3" s="373">
        <v>5</v>
      </c>
      <c r="AG3" s="373" t="s">
        <v>98</v>
      </c>
      <c r="AH3" s="373">
        <v>2</v>
      </c>
      <c r="AI3" s="373">
        <v>3</v>
      </c>
      <c r="AJ3" s="373">
        <v>4</v>
      </c>
      <c r="AK3" s="373">
        <v>5</v>
      </c>
      <c r="AL3" s="373" t="s">
        <v>98</v>
      </c>
      <c r="AM3" s="373">
        <v>2</v>
      </c>
      <c r="AN3" s="373">
        <v>3</v>
      </c>
      <c r="AO3" s="373">
        <v>4</v>
      </c>
      <c r="AP3" s="373">
        <v>5</v>
      </c>
      <c r="AQ3" s="373" t="s">
        <v>98</v>
      </c>
      <c r="AR3" s="373">
        <v>2</v>
      </c>
      <c r="AS3" s="373">
        <v>3</v>
      </c>
      <c r="AT3" s="373">
        <v>4</v>
      </c>
      <c r="AU3" s="373">
        <v>5</v>
      </c>
      <c r="AV3" s="373" t="s">
        <v>98</v>
      </c>
    </row>
    <row r="4" spans="1:48" x14ac:dyDescent="0.35">
      <c r="A4" s="372" t="s">
        <v>444</v>
      </c>
      <c r="B4" s="372" t="s">
        <v>99</v>
      </c>
      <c r="C4" s="372" t="s">
        <v>445</v>
      </c>
      <c r="D4" s="372" t="s">
        <v>376</v>
      </c>
      <c r="E4" s="372" t="s">
        <v>446</v>
      </c>
      <c r="F4" s="372" t="s">
        <v>447</v>
      </c>
      <c r="G4" s="372" t="s">
        <v>450</v>
      </c>
      <c r="H4" s="372" t="s">
        <v>448</v>
      </c>
      <c r="I4" s="372" t="s">
        <v>449</v>
      </c>
      <c r="J4" s="372" t="s">
        <v>446</v>
      </c>
      <c r="K4" s="372" t="s">
        <v>447</v>
      </c>
      <c r="L4" s="372" t="s">
        <v>450</v>
      </c>
      <c r="M4" s="372" t="s">
        <v>448</v>
      </c>
      <c r="N4" s="372" t="s">
        <v>449</v>
      </c>
      <c r="O4" s="372" t="s">
        <v>446</v>
      </c>
      <c r="P4" s="372" t="s">
        <v>447</v>
      </c>
      <c r="Q4" s="372" t="s">
        <v>450</v>
      </c>
      <c r="R4" s="372" t="s">
        <v>448</v>
      </c>
      <c r="S4" s="372" t="s">
        <v>449</v>
      </c>
      <c r="T4" s="372" t="s">
        <v>446</v>
      </c>
      <c r="U4" s="372" t="s">
        <v>447</v>
      </c>
      <c r="V4" s="372" t="s">
        <v>450</v>
      </c>
      <c r="W4" s="372" t="s">
        <v>448</v>
      </c>
      <c r="X4" s="372" t="s">
        <v>449</v>
      </c>
      <c r="Z4" s="24" t="s">
        <v>375</v>
      </c>
      <c r="AA4" s="24" t="s">
        <v>99</v>
      </c>
      <c r="AB4" s="24" t="s">
        <v>100</v>
      </c>
      <c r="AC4" s="308">
        <v>2869.5415786322055</v>
      </c>
      <c r="AD4" s="308">
        <v>2869.5415786322055</v>
      </c>
      <c r="AE4" s="308">
        <v>2869.5415786322055</v>
      </c>
      <c r="AF4" s="308">
        <v>2869.5415786322055</v>
      </c>
      <c r="AG4" s="308">
        <v>2869.5415786322055</v>
      </c>
      <c r="AH4" s="308">
        <v>3605.75</v>
      </c>
      <c r="AI4" s="308">
        <v>3605.75</v>
      </c>
      <c r="AJ4" s="308">
        <v>3605.75</v>
      </c>
      <c r="AK4" s="308">
        <v>3605.75</v>
      </c>
      <c r="AL4" s="308">
        <v>3605.75</v>
      </c>
      <c r="AM4" s="308">
        <v>7945.229130130082</v>
      </c>
      <c r="AN4" s="308">
        <v>7945.229130130082</v>
      </c>
      <c r="AO4" s="308">
        <v>7945.229130130082</v>
      </c>
      <c r="AP4" s="308">
        <v>7945.229130130082</v>
      </c>
      <c r="AQ4" s="308">
        <v>7945.229130130082</v>
      </c>
      <c r="AR4" s="308">
        <v>7014.5688774709897</v>
      </c>
      <c r="AS4" s="308">
        <v>7014.5688774709897</v>
      </c>
      <c r="AT4" s="308">
        <v>7014.5688774709897</v>
      </c>
      <c r="AU4" s="308">
        <v>7014.5688774709897</v>
      </c>
      <c r="AV4" s="308">
        <v>7014.5688774709897</v>
      </c>
    </row>
    <row r="5" spans="1:48" x14ac:dyDescent="0.35">
      <c r="A5" s="24" t="s">
        <v>375</v>
      </c>
      <c r="B5" s="24" t="s">
        <v>99</v>
      </c>
      <c r="C5" s="24" t="s">
        <v>100</v>
      </c>
      <c r="D5" s="309" t="s">
        <v>376</v>
      </c>
      <c r="E5" s="374">
        <v>273.21245490379033</v>
      </c>
      <c r="F5" s="374">
        <v>290.72584289029243</v>
      </c>
      <c r="G5" s="374">
        <v>270.53088761622234</v>
      </c>
      <c r="H5" s="374">
        <v>322.65736441424855</v>
      </c>
      <c r="I5" s="374">
        <v>291.52608307900914</v>
      </c>
      <c r="J5" s="374">
        <v>360.7276256051552</v>
      </c>
      <c r="K5" s="374">
        <v>373.49403998124103</v>
      </c>
      <c r="L5" s="374">
        <v>351.86598108459259</v>
      </c>
      <c r="M5" s="374">
        <v>410.40835617757745</v>
      </c>
      <c r="N5" s="374">
        <v>373.69675359579321</v>
      </c>
      <c r="O5" s="374">
        <v>1348.6150002732245</v>
      </c>
      <c r="P5" s="374">
        <v>1395.9774308085509</v>
      </c>
      <c r="Q5" s="374">
        <v>1264.9710802124846</v>
      </c>
      <c r="R5" s="374">
        <v>1583.8739828283335</v>
      </c>
      <c r="S5" s="374">
        <v>1374.5920188887139</v>
      </c>
      <c r="T5" s="374">
        <v>1468.1654899343011</v>
      </c>
      <c r="U5" s="374">
        <v>1510.3510334067089</v>
      </c>
      <c r="V5" s="374">
        <v>1391.5133877556098</v>
      </c>
      <c r="W5" s="374">
        <v>1762.9354489158843</v>
      </c>
      <c r="X5" s="374">
        <v>1516.5379283460131</v>
      </c>
      <c r="Z5" s="24" t="s">
        <v>375</v>
      </c>
      <c r="AA5" s="24" t="s">
        <v>99</v>
      </c>
      <c r="AB5" s="24" t="s">
        <v>101</v>
      </c>
      <c r="AC5" s="305">
        <v>0.35399294880543802</v>
      </c>
      <c r="AD5" s="305">
        <v>0.35399294880543802</v>
      </c>
      <c r="AE5" s="305">
        <v>0.35399294880543802</v>
      </c>
      <c r="AF5" s="305">
        <v>0.35399294880543802</v>
      </c>
      <c r="AG5" s="305">
        <v>0.35399294880543802</v>
      </c>
      <c r="AH5" s="305">
        <v>0.95078987379868796</v>
      </c>
      <c r="AI5" s="305">
        <v>0.95078987379868796</v>
      </c>
      <c r="AJ5" s="305">
        <v>0.95078987379868796</v>
      </c>
      <c r="AK5" s="305">
        <v>0.95078987379868796</v>
      </c>
      <c r="AL5" s="305">
        <v>0.95078987379868796</v>
      </c>
      <c r="AM5" s="305">
        <v>34.012448518998568</v>
      </c>
      <c r="AN5" s="305">
        <v>34.012448518998568</v>
      </c>
      <c r="AO5" s="305">
        <v>34.012448518998568</v>
      </c>
      <c r="AP5" s="305">
        <v>34.012448518998568</v>
      </c>
      <c r="AQ5" s="305">
        <v>34.012448518998568</v>
      </c>
      <c r="AR5" s="305">
        <v>35.049744880486408</v>
      </c>
      <c r="AS5" s="305">
        <v>35.049744880486408</v>
      </c>
      <c r="AT5" s="305">
        <v>35.049744880486408</v>
      </c>
      <c r="AU5" s="305">
        <v>35.049744880486408</v>
      </c>
      <c r="AV5" s="305">
        <v>35.049744880486408</v>
      </c>
    </row>
    <row r="6" spans="1:48" x14ac:dyDescent="0.35">
      <c r="A6" s="24" t="s">
        <v>375</v>
      </c>
      <c r="B6" s="24" t="s">
        <v>99</v>
      </c>
      <c r="C6" s="24" t="s">
        <v>100</v>
      </c>
      <c r="D6" s="375">
        <v>2.5</v>
      </c>
      <c r="E6" s="376">
        <v>1723.1086461701466</v>
      </c>
      <c r="F6" s="376">
        <v>1669.3520373129932</v>
      </c>
      <c r="G6" s="376">
        <v>1679.8445370289955</v>
      </c>
      <c r="H6" s="376">
        <v>1679.8431972419864</v>
      </c>
      <c r="I6" s="376">
        <v>1688.0371044385304</v>
      </c>
      <c r="J6" s="376">
        <v>2162.256792460711</v>
      </c>
      <c r="K6" s="376">
        <v>2098.462518476164</v>
      </c>
      <c r="L6" s="376">
        <v>2066.2520219683602</v>
      </c>
      <c r="M6" s="376">
        <v>2066.2520219683602</v>
      </c>
      <c r="N6" s="376">
        <v>2098.3058387183987</v>
      </c>
      <c r="O6" s="376">
        <v>7455.3602681753728</v>
      </c>
      <c r="P6" s="376">
        <v>9571.6430368118363</v>
      </c>
      <c r="Q6" s="376">
        <v>6486.6307148718934</v>
      </c>
      <c r="R6" s="376">
        <v>6120.6552144026009</v>
      </c>
      <c r="S6" s="376">
        <v>7408.5723085654245</v>
      </c>
      <c r="T6" s="376">
        <v>8060.0232813922676</v>
      </c>
      <c r="U6" s="376">
        <v>7891.7627158038904</v>
      </c>
      <c r="V6" s="376">
        <v>6350.1475865308757</v>
      </c>
      <c r="W6" s="376">
        <v>6320.0587357713666</v>
      </c>
      <c r="X6" s="376">
        <v>7155.4980798746001</v>
      </c>
      <c r="Z6" s="24" t="s">
        <v>375</v>
      </c>
      <c r="AA6" s="24" t="s">
        <v>99</v>
      </c>
      <c r="AB6" s="24" t="s">
        <v>102</v>
      </c>
      <c r="AC6" s="305">
        <v>3.1340207572494741E-2</v>
      </c>
      <c r="AD6" s="305">
        <v>3.1340207572494741E-2</v>
      </c>
      <c r="AE6" s="305">
        <v>3.1340207572494741E-2</v>
      </c>
      <c r="AF6" s="305">
        <v>3.1340207572494741E-2</v>
      </c>
      <c r="AG6" s="305">
        <v>3.1340207572494741E-2</v>
      </c>
      <c r="AH6" s="305">
        <v>6.1354188714176403E-2</v>
      </c>
      <c r="AI6" s="305">
        <v>6.1354188714176403E-2</v>
      </c>
      <c r="AJ6" s="305">
        <v>6.1354188714176403E-2</v>
      </c>
      <c r="AK6" s="305">
        <v>6.1354188714176403E-2</v>
      </c>
      <c r="AL6" s="305">
        <v>6.1354188714176403E-2</v>
      </c>
      <c r="AM6" s="305">
        <v>0.68486257764982805</v>
      </c>
      <c r="AN6" s="305">
        <v>0.68486257764982805</v>
      </c>
      <c r="AO6" s="305">
        <v>0.68486257764982805</v>
      </c>
      <c r="AP6" s="305">
        <v>0.68486257764982805</v>
      </c>
      <c r="AQ6" s="305">
        <v>0.68486257764982805</v>
      </c>
      <c r="AR6" s="305">
        <v>0.608692340690275</v>
      </c>
      <c r="AS6" s="305">
        <v>0.608692340690275</v>
      </c>
      <c r="AT6" s="305">
        <v>0.608692340690275</v>
      </c>
      <c r="AU6" s="305">
        <v>0.608692340690275</v>
      </c>
      <c r="AV6" s="305">
        <v>0.608692340690275</v>
      </c>
    </row>
    <row r="7" spans="1:48" x14ac:dyDescent="0.35">
      <c r="A7" s="24" t="s">
        <v>375</v>
      </c>
      <c r="B7" s="24" t="s">
        <v>99</v>
      </c>
      <c r="C7" s="24" t="s">
        <v>100</v>
      </c>
      <c r="D7" s="375">
        <v>5</v>
      </c>
      <c r="E7" s="376">
        <v>950.04140742276036</v>
      </c>
      <c r="F7" s="376">
        <v>943.08987400981869</v>
      </c>
      <c r="G7" s="376">
        <v>934.74814073881271</v>
      </c>
      <c r="H7" s="376">
        <v>947.28467964195067</v>
      </c>
      <c r="I7" s="376">
        <v>943.79102545333558</v>
      </c>
      <c r="J7" s="376">
        <v>1192.1671282217883</v>
      </c>
      <c r="K7" s="376">
        <v>1185.513126008756</v>
      </c>
      <c r="L7" s="376">
        <v>1161.9044499480999</v>
      </c>
      <c r="M7" s="376">
        <v>1172.6241976516301</v>
      </c>
      <c r="N7" s="376">
        <v>1178.0522254575685</v>
      </c>
      <c r="O7" s="376">
        <v>3983.2418072760806</v>
      </c>
      <c r="P7" s="376">
        <v>4844.723268620367</v>
      </c>
      <c r="Q7" s="376">
        <v>3727.4671872968738</v>
      </c>
      <c r="R7" s="376">
        <v>3525.0915597708022</v>
      </c>
      <c r="S7" s="376">
        <v>4020.1309557410309</v>
      </c>
      <c r="T7" s="376">
        <v>4186.044356416849</v>
      </c>
      <c r="U7" s="376">
        <v>3982.7212585658349</v>
      </c>
      <c r="V7" s="376">
        <v>3720.615271331927</v>
      </c>
      <c r="W7" s="376">
        <v>3710.0637366482929</v>
      </c>
      <c r="X7" s="376">
        <v>3899.8611557407262</v>
      </c>
      <c r="Z7" s="24" t="s">
        <v>375</v>
      </c>
      <c r="AA7" s="24" t="s">
        <v>103</v>
      </c>
      <c r="AB7" s="24" t="s">
        <v>101</v>
      </c>
      <c r="AC7" s="305">
        <v>0.58875959789844012</v>
      </c>
      <c r="AD7" s="305">
        <v>0.58875959789844012</v>
      </c>
      <c r="AE7" s="305">
        <v>0.58875959789844012</v>
      </c>
      <c r="AF7" s="305">
        <v>0.58875959789844012</v>
      </c>
      <c r="AG7" s="305">
        <v>0.58875959789844012</v>
      </c>
      <c r="AH7" s="305">
        <v>1.58122983574867</v>
      </c>
      <c r="AI7" s="305">
        <v>1.58122983574867</v>
      </c>
      <c r="AJ7" s="305">
        <v>1.58122983574867</v>
      </c>
      <c r="AK7" s="305">
        <v>1.58122983574867</v>
      </c>
      <c r="AL7" s="305">
        <v>1.58122983574867</v>
      </c>
      <c r="AM7" s="305">
        <v>32.552946315877136</v>
      </c>
      <c r="AN7" s="305">
        <v>32.552946315877136</v>
      </c>
      <c r="AO7" s="305">
        <v>32.552946315877136</v>
      </c>
      <c r="AP7" s="305">
        <v>32.552946315877136</v>
      </c>
      <c r="AQ7" s="305">
        <v>32.552946315877136</v>
      </c>
      <c r="AR7" s="305">
        <v>33.582826576286529</v>
      </c>
      <c r="AS7" s="305">
        <v>33.582826576286529</v>
      </c>
      <c r="AT7" s="305">
        <v>33.582826576286529</v>
      </c>
      <c r="AU7" s="305">
        <v>33.582826576286529</v>
      </c>
      <c r="AV7" s="305">
        <v>33.582826576286529</v>
      </c>
    </row>
    <row r="8" spans="1:48" x14ac:dyDescent="0.35">
      <c r="A8" s="24" t="s">
        <v>375</v>
      </c>
      <c r="B8" s="24" t="s">
        <v>99</v>
      </c>
      <c r="C8" s="24" t="s">
        <v>100</v>
      </c>
      <c r="D8" s="375">
        <v>10</v>
      </c>
      <c r="E8" s="376">
        <v>561.03326127694015</v>
      </c>
      <c r="F8" s="376">
        <v>579.95806607041413</v>
      </c>
      <c r="G8" s="376">
        <v>565.15257199129542</v>
      </c>
      <c r="H8" s="376">
        <v>581.00732287169365</v>
      </c>
      <c r="I8" s="376">
        <v>571.78780555258584</v>
      </c>
      <c r="J8" s="376">
        <v>704.01711620954984</v>
      </c>
      <c r="K8" s="376">
        <v>729.03751679341133</v>
      </c>
      <c r="L8" s="376">
        <v>711.14247154258101</v>
      </c>
      <c r="M8" s="376">
        <v>725.81529037561199</v>
      </c>
      <c r="N8" s="376">
        <v>717.50309873028846</v>
      </c>
      <c r="O8" s="376">
        <v>2442.0605713746249</v>
      </c>
      <c r="P8" s="376">
        <v>2790.4840932563334</v>
      </c>
      <c r="Q8" s="376">
        <v>2401.6914178210709</v>
      </c>
      <c r="R8" s="376">
        <v>2480.0650683002696</v>
      </c>
      <c r="S8" s="376">
        <v>2528.5752876880747</v>
      </c>
      <c r="T8" s="376">
        <v>2507.6504852177022</v>
      </c>
      <c r="U8" s="376">
        <v>2475.7255404356069</v>
      </c>
      <c r="V8" s="376">
        <v>2449.1812101021796</v>
      </c>
      <c r="W8" s="376">
        <v>2448.1685088890158</v>
      </c>
      <c r="X8" s="376">
        <v>2470.1814361611264</v>
      </c>
      <c r="Z8" s="24" t="s">
        <v>375</v>
      </c>
      <c r="AA8" s="24" t="s">
        <v>103</v>
      </c>
      <c r="AB8" s="24" t="s">
        <v>104</v>
      </c>
      <c r="AC8" s="305">
        <v>0.29254066546595658</v>
      </c>
      <c r="AD8" s="305">
        <v>0.29254066546595658</v>
      </c>
      <c r="AE8" s="305">
        <v>0.29254066546595658</v>
      </c>
      <c r="AF8" s="305">
        <v>0.29254066546595658</v>
      </c>
      <c r="AG8" s="305">
        <v>0.29254066546595658</v>
      </c>
      <c r="AH8" s="305">
        <v>0.46680608764290799</v>
      </c>
      <c r="AI8" s="305">
        <v>0.46680608764290799</v>
      </c>
      <c r="AJ8" s="305">
        <v>0.46680608764290799</v>
      </c>
      <c r="AK8" s="305">
        <v>0.46680608764290799</v>
      </c>
      <c r="AL8" s="305">
        <v>0.46680608764290799</v>
      </c>
      <c r="AM8" s="305">
        <v>3.2327957513898049</v>
      </c>
      <c r="AN8" s="305">
        <v>3.2327957513898049</v>
      </c>
      <c r="AO8" s="305">
        <v>3.2327957513898049</v>
      </c>
      <c r="AP8" s="305">
        <v>3.2327957513898049</v>
      </c>
      <c r="AQ8" s="305">
        <v>3.2327957513898049</v>
      </c>
      <c r="AR8" s="305">
        <v>2.2148975300066596</v>
      </c>
      <c r="AS8" s="305">
        <v>2.2148975300066596</v>
      </c>
      <c r="AT8" s="305">
        <v>2.2148975300066596</v>
      </c>
      <c r="AU8" s="305">
        <v>2.2148975300066596</v>
      </c>
      <c r="AV8" s="305">
        <v>2.2148975300066596</v>
      </c>
    </row>
    <row r="9" spans="1:48" x14ac:dyDescent="0.35">
      <c r="A9" s="24" t="s">
        <v>375</v>
      </c>
      <c r="B9" s="24" t="s">
        <v>99</v>
      </c>
      <c r="C9" s="24" t="s">
        <v>100</v>
      </c>
      <c r="D9" s="375">
        <v>15</v>
      </c>
      <c r="E9" s="376">
        <v>442.69636134250663</v>
      </c>
      <c r="F9" s="376">
        <v>458.91413609044935</v>
      </c>
      <c r="G9" s="376">
        <v>447.66878321461468</v>
      </c>
      <c r="H9" s="376">
        <v>458.91412796147705</v>
      </c>
      <c r="I9" s="376">
        <v>452.04835215226194</v>
      </c>
      <c r="J9" s="376">
        <v>555.52110218821099</v>
      </c>
      <c r="K9" s="376">
        <v>576.87898793040404</v>
      </c>
      <c r="L9" s="376">
        <v>563.62480485889398</v>
      </c>
      <c r="M9" s="376">
        <v>576.87898793083104</v>
      </c>
      <c r="N9" s="376">
        <v>568.22597072708504</v>
      </c>
      <c r="O9" s="376">
        <v>1995.2375835710207</v>
      </c>
      <c r="P9" s="376">
        <v>2134.9674245264487</v>
      </c>
      <c r="Q9" s="376">
        <v>2007.5806995060614</v>
      </c>
      <c r="R9" s="376">
        <v>2134.9674245264487</v>
      </c>
      <c r="S9" s="376">
        <v>2068.1882830324948</v>
      </c>
      <c r="T9" s="376">
        <v>2164.8303696603143</v>
      </c>
      <c r="U9" s="376">
        <v>2170.7344986300527</v>
      </c>
      <c r="V9" s="376">
        <v>2170.7344986467151</v>
      </c>
      <c r="W9" s="376">
        <v>2170.7344986173848</v>
      </c>
      <c r="X9" s="376">
        <v>2169.2584663886164</v>
      </c>
      <c r="Z9" s="24" t="s">
        <v>375</v>
      </c>
      <c r="AA9" s="24" t="s">
        <v>99</v>
      </c>
      <c r="AB9" s="24" t="s">
        <v>377</v>
      </c>
      <c r="AC9" s="305">
        <v>1.9476558553341038E-2</v>
      </c>
      <c r="AD9" s="305">
        <v>1.9476558553341038E-2</v>
      </c>
      <c r="AE9" s="305">
        <v>1.9476558553341038E-2</v>
      </c>
      <c r="AF9" s="305">
        <v>1.9476558553341038E-2</v>
      </c>
      <c r="AG9" s="305">
        <v>1.9476558553341038E-2</v>
      </c>
      <c r="AH9" s="305">
        <v>2.42052003741264E-2</v>
      </c>
      <c r="AI9" s="305">
        <v>2.42052003741264E-2</v>
      </c>
      <c r="AJ9" s="305">
        <v>2.42052003741264E-2</v>
      </c>
      <c r="AK9" s="305">
        <v>2.42052003741264E-2</v>
      </c>
      <c r="AL9" s="305">
        <v>2.42052003741264E-2</v>
      </c>
      <c r="AM9" s="305">
        <v>3.0161030755151481E-2</v>
      </c>
      <c r="AN9" s="305">
        <v>3.0161030755151481E-2</v>
      </c>
      <c r="AO9" s="305">
        <v>3.0161030755151481E-2</v>
      </c>
      <c r="AP9" s="305">
        <v>3.0161030755151481E-2</v>
      </c>
      <c r="AQ9" s="305">
        <v>3.0161030755151481E-2</v>
      </c>
      <c r="AR9" s="305">
        <v>2.6609900745527076E-2</v>
      </c>
      <c r="AS9" s="305">
        <v>2.6609900745527076E-2</v>
      </c>
      <c r="AT9" s="305">
        <v>2.6609900745527076E-2</v>
      </c>
      <c r="AU9" s="305">
        <v>2.6609900745527076E-2</v>
      </c>
      <c r="AV9" s="305">
        <v>2.6609900745527076E-2</v>
      </c>
    </row>
    <row r="10" spans="1:48" x14ac:dyDescent="0.35">
      <c r="A10" s="24" t="s">
        <v>375</v>
      </c>
      <c r="B10" s="24" t="s">
        <v>99</v>
      </c>
      <c r="C10" s="24" t="s">
        <v>100</v>
      </c>
      <c r="D10" s="375">
        <v>20</v>
      </c>
      <c r="E10" s="376">
        <v>372.67711152630852</v>
      </c>
      <c r="F10" s="376">
        <v>395.50215825856674</v>
      </c>
      <c r="G10" s="376">
        <v>372.67711152746108</v>
      </c>
      <c r="H10" s="376">
        <v>395.50215825862955</v>
      </c>
      <c r="I10" s="376">
        <v>384.0896348927418</v>
      </c>
      <c r="J10" s="376">
        <v>467.65688140643698</v>
      </c>
      <c r="K10" s="376">
        <v>500.017213496728</v>
      </c>
      <c r="L10" s="376">
        <v>467.65688140602998</v>
      </c>
      <c r="M10" s="376">
        <v>500.01721349715501</v>
      </c>
      <c r="N10" s="376">
        <v>483.83704745158798</v>
      </c>
      <c r="O10" s="376">
        <v>1772.8647325743341</v>
      </c>
      <c r="P10" s="376">
        <v>1864.3393194060197</v>
      </c>
      <c r="Q10" s="376">
        <v>1772.8647308175009</v>
      </c>
      <c r="R10" s="376">
        <v>1864.3393194926516</v>
      </c>
      <c r="S10" s="376">
        <v>1818.6020255726294</v>
      </c>
      <c r="T10" s="376">
        <v>1960.5218268398078</v>
      </c>
      <c r="U10" s="376">
        <v>1960.5218268407982</v>
      </c>
      <c r="V10" s="376">
        <v>1960.5218268398023</v>
      </c>
      <c r="W10" s="376">
        <v>1960.5218268410456</v>
      </c>
      <c r="X10" s="376">
        <v>1960.5218268403635</v>
      </c>
      <c r="Z10" s="24" t="s">
        <v>375</v>
      </c>
      <c r="AA10" s="24" t="s">
        <v>378</v>
      </c>
      <c r="AB10" s="24" t="s">
        <v>379</v>
      </c>
      <c r="AC10" s="305">
        <v>3.1032946998388797</v>
      </c>
      <c r="AD10" s="305">
        <v>3.1032946998388797</v>
      </c>
      <c r="AE10" s="305">
        <v>3.1032946998388797</v>
      </c>
      <c r="AF10" s="305">
        <v>3.1032946998388797</v>
      </c>
      <c r="AG10" s="305">
        <v>3.1032946998388797</v>
      </c>
      <c r="AH10" s="305">
        <v>6.6407294869422904</v>
      </c>
      <c r="AI10" s="305">
        <v>6.6407294869422904</v>
      </c>
      <c r="AJ10" s="305">
        <v>6.6407294869422904</v>
      </c>
      <c r="AK10" s="305">
        <v>6.6407294869422904</v>
      </c>
      <c r="AL10" s="305">
        <v>6.6407294869422904</v>
      </c>
      <c r="AM10" s="305">
        <v>20.645200114517728</v>
      </c>
      <c r="AN10" s="305">
        <v>20.645200114517728</v>
      </c>
      <c r="AO10" s="305">
        <v>20.645200114517728</v>
      </c>
      <c r="AP10" s="305">
        <v>20.645200114517728</v>
      </c>
      <c r="AQ10" s="305">
        <v>20.645200114517728</v>
      </c>
      <c r="AR10" s="305">
        <v>17.765913054860473</v>
      </c>
      <c r="AS10" s="305">
        <v>17.765913054860473</v>
      </c>
      <c r="AT10" s="305">
        <v>17.765913054860473</v>
      </c>
      <c r="AU10" s="305">
        <v>17.765913054860473</v>
      </c>
      <c r="AV10" s="305">
        <v>17.765913054860473</v>
      </c>
    </row>
    <row r="11" spans="1:48" x14ac:dyDescent="0.35">
      <c r="A11" s="24" t="s">
        <v>375</v>
      </c>
      <c r="B11" s="24" t="s">
        <v>99</v>
      </c>
      <c r="C11" s="24" t="s">
        <v>100</v>
      </c>
      <c r="D11" s="375">
        <v>25</v>
      </c>
      <c r="E11" s="376">
        <v>332.58656206300219</v>
      </c>
      <c r="F11" s="376">
        <v>352.6910181525451</v>
      </c>
      <c r="G11" s="376">
        <v>332.58656206283575</v>
      </c>
      <c r="H11" s="376">
        <v>352.69101815317873</v>
      </c>
      <c r="I11" s="376">
        <v>342.6387901078906</v>
      </c>
      <c r="J11" s="376">
        <v>419.08006001682901</v>
      </c>
      <c r="K11" s="376">
        <v>449.08346954667098</v>
      </c>
      <c r="L11" s="376">
        <v>419.08006001642201</v>
      </c>
      <c r="M11" s="376">
        <v>449.08346954835901</v>
      </c>
      <c r="N11" s="376">
        <v>434.08176478207002</v>
      </c>
      <c r="O11" s="376">
        <v>1590.0239235711338</v>
      </c>
      <c r="P11" s="376">
        <v>1677.8084528677091</v>
      </c>
      <c r="Q11" s="376">
        <v>1590.0249162197972</v>
      </c>
      <c r="R11" s="376">
        <v>1677.8084529167111</v>
      </c>
      <c r="S11" s="376">
        <v>1633.9164363938412</v>
      </c>
      <c r="T11" s="376">
        <v>1798.6984812554945</v>
      </c>
      <c r="U11" s="376">
        <v>1798.6984812491719</v>
      </c>
      <c r="V11" s="376">
        <v>1798.6984870665681</v>
      </c>
      <c r="W11" s="376">
        <v>1798.6984870697759</v>
      </c>
      <c r="X11" s="376">
        <v>1798.6984841602525</v>
      </c>
    </row>
    <row r="12" spans="1:48" x14ac:dyDescent="0.35">
      <c r="A12" s="24" t="s">
        <v>375</v>
      </c>
      <c r="B12" s="24" t="s">
        <v>99</v>
      </c>
      <c r="C12" s="24" t="s">
        <v>100</v>
      </c>
      <c r="D12" s="375">
        <v>30</v>
      </c>
      <c r="E12" s="376">
        <v>306.67111237979674</v>
      </c>
      <c r="F12" s="376">
        <v>315.1489509793704</v>
      </c>
      <c r="G12" s="376">
        <v>306.67111237971545</v>
      </c>
      <c r="H12" s="376">
        <v>315.14895097951597</v>
      </c>
      <c r="I12" s="376">
        <v>310.91003167959968</v>
      </c>
      <c r="J12" s="376">
        <v>388.06756222853397</v>
      </c>
      <c r="K12" s="376">
        <v>400.739577833601</v>
      </c>
      <c r="L12" s="376">
        <v>388.06756222812601</v>
      </c>
      <c r="M12" s="376">
        <v>400.73957783488203</v>
      </c>
      <c r="N12" s="376">
        <v>394.40357003128599</v>
      </c>
      <c r="O12" s="376">
        <v>1548.7160399063337</v>
      </c>
      <c r="P12" s="376">
        <v>1560.3903653210716</v>
      </c>
      <c r="Q12" s="376">
        <v>1548.7160399507773</v>
      </c>
      <c r="R12" s="376">
        <v>1560.3903653062391</v>
      </c>
      <c r="S12" s="376">
        <v>1554.5532026211056</v>
      </c>
      <c r="T12" s="376">
        <v>1753.994689381241</v>
      </c>
      <c r="U12" s="376">
        <v>1753.9946893767208</v>
      </c>
      <c r="V12" s="376">
        <v>1753.9946893774652</v>
      </c>
      <c r="W12" s="376">
        <v>1753.9946893774115</v>
      </c>
      <c r="X12" s="376">
        <v>1753.9946893782094</v>
      </c>
    </row>
    <row r="13" spans="1:48" x14ac:dyDescent="0.35">
      <c r="A13" s="24" t="s">
        <v>375</v>
      </c>
      <c r="B13" s="24" t="s">
        <v>99</v>
      </c>
      <c r="C13" s="24" t="s">
        <v>100</v>
      </c>
      <c r="D13" s="375">
        <v>35</v>
      </c>
      <c r="E13" s="376">
        <v>295.63942435420495</v>
      </c>
      <c r="F13" s="376">
        <v>298.65167328829875</v>
      </c>
      <c r="G13" s="376">
        <v>295.63942435418357</v>
      </c>
      <c r="H13" s="376">
        <v>297.68485652559025</v>
      </c>
      <c r="I13" s="376">
        <v>296.90384463056961</v>
      </c>
      <c r="J13" s="376">
        <v>377.15002115309397</v>
      </c>
      <c r="K13" s="376">
        <v>381.83775102457702</v>
      </c>
      <c r="L13" s="376">
        <v>377.15002115309397</v>
      </c>
      <c r="M13" s="376">
        <v>380.47669749908698</v>
      </c>
      <c r="N13" s="376">
        <v>379.153622707463</v>
      </c>
      <c r="O13" s="376">
        <v>1367.4817432496743</v>
      </c>
      <c r="P13" s="376">
        <v>1448.5378112230806</v>
      </c>
      <c r="Q13" s="376">
        <v>1367.4817431842109</v>
      </c>
      <c r="R13" s="376">
        <v>1448.5378112544436</v>
      </c>
      <c r="S13" s="376">
        <v>1408.0097772278514</v>
      </c>
      <c r="T13" s="376">
        <v>1535.0986131755574</v>
      </c>
      <c r="U13" s="376">
        <v>1535.0986131775362</v>
      </c>
      <c r="V13" s="376">
        <v>1535.0986131807426</v>
      </c>
      <c r="W13" s="376">
        <v>1535.0986131748195</v>
      </c>
      <c r="X13" s="376">
        <v>1535.098613177164</v>
      </c>
    </row>
    <row r="14" spans="1:48" x14ac:dyDescent="0.35">
      <c r="A14" s="24" t="s">
        <v>375</v>
      </c>
      <c r="B14" s="24" t="s">
        <v>99</v>
      </c>
      <c r="C14" s="24" t="s">
        <v>100</v>
      </c>
      <c r="D14" s="375">
        <v>40</v>
      </c>
      <c r="E14" s="376">
        <v>288.09197968696162</v>
      </c>
      <c r="F14" s="376">
        <v>288.74438529079083</v>
      </c>
      <c r="G14" s="376">
        <v>288.09197968696282</v>
      </c>
      <c r="H14" s="376">
        <v>286.83529018049262</v>
      </c>
      <c r="I14" s="376">
        <v>287.94090871130214</v>
      </c>
      <c r="J14" s="376">
        <v>370.05363922053903</v>
      </c>
      <c r="K14" s="376">
        <v>371.40811222040702</v>
      </c>
      <c r="L14" s="376">
        <v>370.05363922011202</v>
      </c>
      <c r="M14" s="376">
        <v>368.71997275766103</v>
      </c>
      <c r="N14" s="376">
        <v>370.05884085468</v>
      </c>
      <c r="O14" s="376">
        <v>1321.7896909339161</v>
      </c>
      <c r="P14" s="376">
        <v>1382.8373357049186</v>
      </c>
      <c r="Q14" s="376">
        <v>1321.7896909623623</v>
      </c>
      <c r="R14" s="376">
        <v>1382.8373357159589</v>
      </c>
      <c r="S14" s="376">
        <v>1352.313513329289</v>
      </c>
      <c r="T14" s="376">
        <v>1504.1641384633417</v>
      </c>
      <c r="U14" s="376">
        <v>1504.164138464002</v>
      </c>
      <c r="V14" s="376">
        <v>1504.1641384516449</v>
      </c>
      <c r="W14" s="376">
        <v>1504.1641384553438</v>
      </c>
      <c r="X14" s="376">
        <v>1504.1641384585794</v>
      </c>
    </row>
    <row r="15" spans="1:48" x14ac:dyDescent="0.35">
      <c r="A15" s="24" t="s">
        <v>375</v>
      </c>
      <c r="B15" s="24" t="s">
        <v>99</v>
      </c>
      <c r="C15" s="24" t="s">
        <v>100</v>
      </c>
      <c r="D15" s="375">
        <v>45</v>
      </c>
      <c r="E15" s="376">
        <v>282.22197085523885</v>
      </c>
      <c r="F15" s="376">
        <v>281.03877010940079</v>
      </c>
      <c r="G15" s="376">
        <v>282.22197085463227</v>
      </c>
      <c r="H15" s="376">
        <v>278.77571086604246</v>
      </c>
      <c r="I15" s="376">
        <v>281.06460567132842</v>
      </c>
      <c r="J15" s="376">
        <v>364.53435439104197</v>
      </c>
      <c r="K15" s="376">
        <v>363.29557414114203</v>
      </c>
      <c r="L15" s="376">
        <v>364.53435439104197</v>
      </c>
      <c r="M15" s="376">
        <v>359.730486903805</v>
      </c>
      <c r="N15" s="376">
        <v>363.023692456758</v>
      </c>
      <c r="O15" s="376">
        <v>1287.7236792965055</v>
      </c>
      <c r="P15" s="376">
        <v>1331.9568496601448</v>
      </c>
      <c r="Q15" s="376">
        <v>1287.7236793149236</v>
      </c>
      <c r="R15" s="376">
        <v>1331.956849662269</v>
      </c>
      <c r="S15" s="376">
        <v>1309.8402644834621</v>
      </c>
      <c r="T15" s="376">
        <v>1480.3254313351595</v>
      </c>
      <c r="U15" s="376">
        <v>1480.3254313302357</v>
      </c>
      <c r="V15" s="376">
        <v>1480.3254313147245</v>
      </c>
      <c r="W15" s="376">
        <v>1480.3254313217913</v>
      </c>
      <c r="X15" s="376">
        <v>1480.3254313254795</v>
      </c>
    </row>
    <row r="16" spans="1:48" x14ac:dyDescent="0.35">
      <c r="A16" s="24" t="s">
        <v>375</v>
      </c>
      <c r="B16" s="24" t="s">
        <v>99</v>
      </c>
      <c r="C16" s="24" t="s">
        <v>100</v>
      </c>
      <c r="D16" s="375">
        <v>50</v>
      </c>
      <c r="E16" s="376">
        <v>274.68460773016943</v>
      </c>
      <c r="F16" s="376">
        <v>275.33365268391873</v>
      </c>
      <c r="G16" s="376">
        <v>274.68460773006598</v>
      </c>
      <c r="H16" s="376">
        <v>272.97103127058256</v>
      </c>
      <c r="I16" s="376">
        <v>274.41847485368396</v>
      </c>
      <c r="J16" s="376">
        <v>356.432097171588</v>
      </c>
      <c r="K16" s="376">
        <v>357.45022246142599</v>
      </c>
      <c r="L16" s="376">
        <v>356.43209717116099</v>
      </c>
      <c r="M16" s="376">
        <v>352.80115626094602</v>
      </c>
      <c r="N16" s="376">
        <v>355.77889326628002</v>
      </c>
      <c r="O16" s="376">
        <v>1272.4653131768787</v>
      </c>
      <c r="P16" s="376">
        <v>1293.1326495725436</v>
      </c>
      <c r="Q16" s="376">
        <v>1272.4653132276717</v>
      </c>
      <c r="R16" s="376">
        <v>1293.1326495800704</v>
      </c>
      <c r="S16" s="376">
        <v>1282.7989813892939</v>
      </c>
      <c r="T16" s="376">
        <v>1426.3989188971707</v>
      </c>
      <c r="U16" s="376">
        <v>1426.3989188973958</v>
      </c>
      <c r="V16" s="376">
        <v>1426.3989188914384</v>
      </c>
      <c r="W16" s="376">
        <v>1426.3986205016017</v>
      </c>
      <c r="X16" s="376">
        <v>1426.3988442969014</v>
      </c>
    </row>
    <row r="17" spans="1:24" x14ac:dyDescent="0.35">
      <c r="A17" s="24" t="s">
        <v>375</v>
      </c>
      <c r="B17" s="24" t="s">
        <v>99</v>
      </c>
      <c r="C17" s="24" t="s">
        <v>100</v>
      </c>
      <c r="D17" s="375">
        <v>55</v>
      </c>
      <c r="E17" s="376">
        <v>267.76167449706662</v>
      </c>
      <c r="F17" s="376">
        <v>272.49807646515757</v>
      </c>
      <c r="G17" s="376">
        <v>267.76174087365996</v>
      </c>
      <c r="H17" s="376">
        <v>269.81954505381907</v>
      </c>
      <c r="I17" s="376">
        <v>269.46025922242569</v>
      </c>
      <c r="J17" s="376">
        <v>348.82190369395499</v>
      </c>
      <c r="K17" s="376">
        <v>355.23898330022303</v>
      </c>
      <c r="L17" s="376">
        <v>348.82190369354697</v>
      </c>
      <c r="M17" s="376">
        <v>350.10693591642899</v>
      </c>
      <c r="N17" s="376">
        <v>350.74743165103899</v>
      </c>
      <c r="O17" s="376">
        <v>1259.9749248702731</v>
      </c>
      <c r="P17" s="376">
        <v>1261.363944863986</v>
      </c>
      <c r="Q17" s="376">
        <v>1259.9749248690266</v>
      </c>
      <c r="R17" s="376">
        <v>1261.3639448824251</v>
      </c>
      <c r="S17" s="376">
        <v>1260.6694348714302</v>
      </c>
      <c r="T17" s="376">
        <v>1368.2563670021843</v>
      </c>
      <c r="U17" s="376">
        <v>1368.2563669991493</v>
      </c>
      <c r="V17" s="376">
        <v>1368.2563669983906</v>
      </c>
      <c r="W17" s="376">
        <v>1368.2563670014258</v>
      </c>
      <c r="X17" s="376">
        <v>1368.2563670002876</v>
      </c>
    </row>
    <row r="18" spans="1:24" x14ac:dyDescent="0.35">
      <c r="A18" s="24" t="s">
        <v>375</v>
      </c>
      <c r="B18" s="24" t="s">
        <v>99</v>
      </c>
      <c r="C18" s="24" t="s">
        <v>100</v>
      </c>
      <c r="D18" s="375">
        <v>60</v>
      </c>
      <c r="E18" s="376">
        <v>264.12484613607802</v>
      </c>
      <c r="F18" s="376">
        <v>270.43827130226839</v>
      </c>
      <c r="G18" s="376">
        <v>264.12484613605716</v>
      </c>
      <c r="H18" s="376">
        <v>269.70156556438127</v>
      </c>
      <c r="I18" s="376">
        <v>267.09738228469621</v>
      </c>
      <c r="J18" s="376">
        <v>345.537767681991</v>
      </c>
      <c r="K18" s="376">
        <v>352.55374199007059</v>
      </c>
      <c r="L18" s="376">
        <v>345.537767681991</v>
      </c>
      <c r="M18" s="376">
        <v>349.95385049950778</v>
      </c>
      <c r="N18" s="376">
        <v>348.39578196339011</v>
      </c>
      <c r="O18" s="376">
        <v>1244.2527896363135</v>
      </c>
      <c r="P18" s="376">
        <v>1236.4534515645603</v>
      </c>
      <c r="Q18" s="376">
        <v>1244.2528282157255</v>
      </c>
      <c r="R18" s="376">
        <v>1236.455483978988</v>
      </c>
      <c r="S18" s="376">
        <v>1240.3536383488968</v>
      </c>
      <c r="T18" s="376">
        <v>1371.7033699933913</v>
      </c>
      <c r="U18" s="376">
        <v>1328.5365116403977</v>
      </c>
      <c r="V18" s="376">
        <v>1371.7033723599172</v>
      </c>
      <c r="W18" s="376">
        <v>1328.5388652973263</v>
      </c>
      <c r="X18" s="376">
        <v>1350.120529822758</v>
      </c>
    </row>
    <row r="19" spans="1:24" x14ac:dyDescent="0.35">
      <c r="A19" s="24" t="s">
        <v>375</v>
      </c>
      <c r="B19" s="24" t="s">
        <v>99</v>
      </c>
      <c r="C19" s="24" t="s">
        <v>100</v>
      </c>
      <c r="D19" s="375">
        <v>65</v>
      </c>
      <c r="E19" s="376">
        <v>268.81517157621033</v>
      </c>
      <c r="F19" s="376">
        <v>272.02383859584546</v>
      </c>
      <c r="G19" s="376">
        <v>268.81517157616992</v>
      </c>
      <c r="H19" s="376">
        <v>272.52094903532969</v>
      </c>
      <c r="I19" s="376">
        <v>270.54378269588886</v>
      </c>
      <c r="J19" s="376">
        <v>354.02471596416802</v>
      </c>
      <c r="K19" s="376">
        <v>354.62074855624877</v>
      </c>
      <c r="L19" s="376">
        <v>354.02471596375102</v>
      </c>
      <c r="M19" s="376">
        <v>353.61216853569857</v>
      </c>
      <c r="N19" s="376">
        <v>354.0705872549666</v>
      </c>
      <c r="O19" s="376">
        <v>1319.8218244207353</v>
      </c>
      <c r="P19" s="376">
        <v>1336.6265962114646</v>
      </c>
      <c r="Q19" s="376">
        <v>1319.821824421985</v>
      </c>
      <c r="R19" s="376">
        <v>1336.634532309931</v>
      </c>
      <c r="S19" s="376">
        <v>1328.226194341029</v>
      </c>
      <c r="T19" s="376">
        <v>1443.238352062436</v>
      </c>
      <c r="U19" s="376">
        <v>1398.7533562735812</v>
      </c>
      <c r="V19" s="376">
        <v>1443.2383695067285</v>
      </c>
      <c r="W19" s="376">
        <v>1398.7607441304051</v>
      </c>
      <c r="X19" s="376">
        <v>1420.9977054932876</v>
      </c>
    </row>
    <row r="20" spans="1:24" x14ac:dyDescent="0.35">
      <c r="A20" s="24" t="s">
        <v>375</v>
      </c>
      <c r="B20" s="24" t="s">
        <v>99</v>
      </c>
      <c r="C20" s="24" t="s">
        <v>100</v>
      </c>
      <c r="D20" s="375">
        <v>70</v>
      </c>
      <c r="E20" s="376">
        <v>279.80837989516033</v>
      </c>
      <c r="F20" s="376">
        <v>281.82574993787586</v>
      </c>
      <c r="G20" s="376">
        <v>279.80837989505869</v>
      </c>
      <c r="H20" s="376">
        <v>282.34152788182553</v>
      </c>
      <c r="I20" s="376">
        <v>280.94600940248012</v>
      </c>
      <c r="J20" s="376">
        <v>370.78199006663601</v>
      </c>
      <c r="K20" s="376">
        <v>367.39889754251152</v>
      </c>
      <c r="L20" s="376">
        <v>370.78199006622799</v>
      </c>
      <c r="M20" s="376">
        <v>366.35495471223936</v>
      </c>
      <c r="N20" s="376">
        <v>368.82945809690369</v>
      </c>
      <c r="O20" s="376">
        <v>1391.8047640519583</v>
      </c>
      <c r="P20" s="376">
        <v>1432.6675106643725</v>
      </c>
      <c r="Q20" s="376">
        <v>1391.8047640519583</v>
      </c>
      <c r="R20" s="376">
        <v>1432.6795402044058</v>
      </c>
      <c r="S20" s="376">
        <v>1412.2391447431737</v>
      </c>
      <c r="T20" s="376">
        <v>1505.556196742099</v>
      </c>
      <c r="U20" s="376">
        <v>1461.2339878721605</v>
      </c>
      <c r="V20" s="376">
        <v>1505.5561967420783</v>
      </c>
      <c r="W20" s="376">
        <v>1461.2461358367136</v>
      </c>
      <c r="X20" s="376">
        <v>1483.3981292982628</v>
      </c>
    </row>
    <row r="21" spans="1:24" x14ac:dyDescent="0.35">
      <c r="A21" s="24" t="s">
        <v>375</v>
      </c>
      <c r="B21" s="24" t="s">
        <v>99</v>
      </c>
      <c r="C21" s="24" t="s">
        <v>100</v>
      </c>
      <c r="D21" s="375">
        <v>75</v>
      </c>
      <c r="E21" s="376">
        <v>289.03121417474142</v>
      </c>
      <c r="F21" s="376">
        <v>297.65110283292233</v>
      </c>
      <c r="G21" s="376">
        <v>293.1725273965892</v>
      </c>
      <c r="H21" s="376">
        <v>298.19619967345199</v>
      </c>
      <c r="I21" s="376">
        <v>294.51276101942625</v>
      </c>
      <c r="J21" s="376">
        <v>383.00342835779503</v>
      </c>
      <c r="K21" s="376">
        <v>388.02943683192325</v>
      </c>
      <c r="L21" s="376">
        <v>388.49119951883455</v>
      </c>
      <c r="M21" s="376">
        <v>386.92733600440926</v>
      </c>
      <c r="N21" s="376">
        <v>386.61285017824048</v>
      </c>
      <c r="O21" s="376">
        <v>1389.6987106887536</v>
      </c>
      <c r="P21" s="376">
        <v>1437.252190804038</v>
      </c>
      <c r="Q21" s="376">
        <v>1393.5132062239002</v>
      </c>
      <c r="R21" s="376">
        <v>1437.2664923434245</v>
      </c>
      <c r="S21" s="376">
        <v>1414.4326500150291</v>
      </c>
      <c r="T21" s="376">
        <v>1468.9712581465164</v>
      </c>
      <c r="U21" s="376">
        <v>1421.327084450041</v>
      </c>
      <c r="V21" s="376">
        <v>1466.3152468652386</v>
      </c>
      <c r="W21" s="376">
        <v>1421.3396792783224</v>
      </c>
      <c r="X21" s="376">
        <v>1444.4883171850297</v>
      </c>
    </row>
    <row r="22" spans="1:24" x14ac:dyDescent="0.35">
      <c r="A22" s="24" t="s">
        <v>375</v>
      </c>
      <c r="B22" s="24" t="s">
        <v>99</v>
      </c>
      <c r="C22" s="24" t="s">
        <v>101</v>
      </c>
      <c r="D22" s="306" t="s">
        <v>376</v>
      </c>
      <c r="E22" s="307">
        <v>0.14225979914789802</v>
      </c>
      <c r="F22" s="307">
        <v>0.13592222375574478</v>
      </c>
      <c r="G22" s="307">
        <v>0.1307653837215188</v>
      </c>
      <c r="H22" s="307">
        <v>0.14403194783106249</v>
      </c>
      <c r="I22" s="307">
        <v>0.13145466692786012</v>
      </c>
      <c r="J22" s="307">
        <v>0.341574305915052</v>
      </c>
      <c r="K22" s="307">
        <v>0.31901520299535679</v>
      </c>
      <c r="L22" s="307">
        <v>0.31112409140226438</v>
      </c>
      <c r="M22" s="307">
        <v>0.33515058420325583</v>
      </c>
      <c r="N22" s="307">
        <v>0.30937373033378418</v>
      </c>
      <c r="O22" s="307">
        <v>2.4308196131522681</v>
      </c>
      <c r="P22" s="307">
        <v>2.9614638897361809</v>
      </c>
      <c r="Q22" s="307">
        <v>2.3726166158609447</v>
      </c>
      <c r="R22" s="307">
        <v>3.7883968607105056</v>
      </c>
      <c r="S22" s="307">
        <v>3.027128250816876</v>
      </c>
      <c r="T22" s="307">
        <v>3.5243611191430393</v>
      </c>
      <c r="U22" s="307">
        <v>4.4010854995339574</v>
      </c>
      <c r="V22" s="307">
        <v>3.4064349850045814</v>
      </c>
      <c r="W22" s="307">
        <v>5.8517946871416999</v>
      </c>
      <c r="X22" s="307">
        <v>4.4839874599246521</v>
      </c>
    </row>
    <row r="23" spans="1:24" x14ac:dyDescent="0.35">
      <c r="A23" s="24" t="s">
        <v>375</v>
      </c>
      <c r="B23" s="24" t="s">
        <v>99</v>
      </c>
      <c r="C23" s="24" t="s">
        <v>101</v>
      </c>
      <c r="D23" s="377">
        <v>2.5</v>
      </c>
      <c r="E23" s="305">
        <v>0.37343044332036446</v>
      </c>
      <c r="F23" s="305">
        <v>0.3634428776234796</v>
      </c>
      <c r="G23" s="305">
        <v>0.30260089771131959</v>
      </c>
      <c r="H23" s="305">
        <v>0.30260090924390903</v>
      </c>
      <c r="I23" s="305">
        <v>0.33551878197476814</v>
      </c>
      <c r="J23" s="305">
        <v>0.88478844988229999</v>
      </c>
      <c r="K23" s="305">
        <v>0.85250948208264821</v>
      </c>
      <c r="L23" s="305">
        <v>0.76648874387865296</v>
      </c>
      <c r="M23" s="305">
        <v>0.76648890787479695</v>
      </c>
      <c r="N23" s="305">
        <v>0.81756889592959958</v>
      </c>
      <c r="O23" s="305">
        <v>22.687048874471152</v>
      </c>
      <c r="P23" s="305">
        <v>28.441687851680911</v>
      </c>
      <c r="Q23" s="305">
        <v>25.382207279646416</v>
      </c>
      <c r="R23" s="305">
        <v>23.401794934291878</v>
      </c>
      <c r="S23" s="305">
        <v>24.978184735022587</v>
      </c>
      <c r="T23" s="305">
        <v>32.191171839983724</v>
      </c>
      <c r="U23" s="305">
        <v>33.829669560783159</v>
      </c>
      <c r="V23" s="305">
        <v>33.585610439261998</v>
      </c>
      <c r="W23" s="305">
        <v>33.452513375567982</v>
      </c>
      <c r="X23" s="305">
        <v>33.264741303899214</v>
      </c>
    </row>
    <row r="24" spans="1:24" x14ac:dyDescent="0.35">
      <c r="A24" s="24" t="s">
        <v>375</v>
      </c>
      <c r="B24" s="24" t="s">
        <v>99</v>
      </c>
      <c r="C24" s="24" t="s">
        <v>101</v>
      </c>
      <c r="D24" s="377">
        <v>5</v>
      </c>
      <c r="E24" s="305">
        <v>0.24479109949162531</v>
      </c>
      <c r="F24" s="305">
        <v>0.2517854567146503</v>
      </c>
      <c r="G24" s="305">
        <v>0.22416064730905275</v>
      </c>
      <c r="H24" s="305">
        <v>0.22490925487028132</v>
      </c>
      <c r="I24" s="305">
        <v>0.23641161459640242</v>
      </c>
      <c r="J24" s="305">
        <v>0.57999646611127742</v>
      </c>
      <c r="K24" s="305">
        <v>0.5906003460662741</v>
      </c>
      <c r="L24" s="305">
        <v>0.54651966154809395</v>
      </c>
      <c r="M24" s="305">
        <v>0.55023511670575898</v>
      </c>
      <c r="N24" s="305">
        <v>0.56683789760785119</v>
      </c>
      <c r="O24" s="305">
        <v>11.986600896162104</v>
      </c>
      <c r="P24" s="305">
        <v>14.358485019220248</v>
      </c>
      <c r="Q24" s="305">
        <v>13.185187263237427</v>
      </c>
      <c r="R24" s="305">
        <v>12.216631937402942</v>
      </c>
      <c r="S24" s="305">
        <v>12.936726279005681</v>
      </c>
      <c r="T24" s="305">
        <v>16.681958965782183</v>
      </c>
      <c r="U24" s="305">
        <v>17.049307946702264</v>
      </c>
      <c r="V24" s="305">
        <v>18.399062174032323</v>
      </c>
      <c r="W24" s="305">
        <v>18.353710340415347</v>
      </c>
      <c r="X24" s="305">
        <v>17.621009856733028</v>
      </c>
    </row>
    <row r="25" spans="1:24" x14ac:dyDescent="0.35">
      <c r="A25" s="24" t="s">
        <v>375</v>
      </c>
      <c r="B25" s="24" t="s">
        <v>99</v>
      </c>
      <c r="C25" s="24" t="s">
        <v>101</v>
      </c>
      <c r="D25" s="377">
        <v>10</v>
      </c>
      <c r="E25" s="305">
        <v>0.17485282771705998</v>
      </c>
      <c r="F25" s="305">
        <v>0.19405202436713173</v>
      </c>
      <c r="G25" s="305">
        <v>0.17950487302524459</v>
      </c>
      <c r="H25" s="305">
        <v>0.18606334903125044</v>
      </c>
      <c r="I25" s="305">
        <v>0.18361826853517169</v>
      </c>
      <c r="J25" s="305">
        <v>0.41428802916475443</v>
      </c>
      <c r="K25" s="305">
        <v>0.45517796874175276</v>
      </c>
      <c r="L25" s="305">
        <v>0.42615439379278502</v>
      </c>
      <c r="M25" s="305">
        <v>0.44210863716534698</v>
      </c>
      <c r="N25" s="305">
        <v>0.43443225721615975</v>
      </c>
      <c r="O25" s="305">
        <v>7.0287425239879164</v>
      </c>
      <c r="P25" s="305">
        <v>8.0394699482603542</v>
      </c>
      <c r="Q25" s="305">
        <v>7.736139668885806</v>
      </c>
      <c r="R25" s="305">
        <v>7.7278083055008651</v>
      </c>
      <c r="S25" s="305">
        <v>7.633040111658735</v>
      </c>
      <c r="T25" s="305">
        <v>9.7255194038802912</v>
      </c>
      <c r="U25" s="305">
        <v>10.300941493702501</v>
      </c>
      <c r="V25" s="305">
        <v>11.023775303793389</v>
      </c>
      <c r="W25" s="305">
        <v>11.01949040907563</v>
      </c>
      <c r="X25" s="305">
        <v>10.517431652612952</v>
      </c>
    </row>
    <row r="26" spans="1:24" x14ac:dyDescent="0.35">
      <c r="A26" s="24" t="s">
        <v>375</v>
      </c>
      <c r="B26" s="24" t="s">
        <v>99</v>
      </c>
      <c r="C26" s="24" t="s">
        <v>101</v>
      </c>
      <c r="D26" s="377">
        <v>15</v>
      </c>
      <c r="E26" s="305">
        <v>0.14529105571879891</v>
      </c>
      <c r="F26" s="305">
        <v>0.17311469315713837</v>
      </c>
      <c r="G26" s="305">
        <v>0.15409804882716113</v>
      </c>
      <c r="H26" s="305">
        <v>0.17311468701201024</v>
      </c>
      <c r="I26" s="305">
        <v>0.16140462117877719</v>
      </c>
      <c r="J26" s="305">
        <v>0.34424576322213463</v>
      </c>
      <c r="K26" s="305">
        <v>0.40606633529129399</v>
      </c>
      <c r="L26" s="305">
        <v>0.36593904531870602</v>
      </c>
      <c r="M26" s="305">
        <v>0.40606629431719399</v>
      </c>
      <c r="N26" s="305">
        <v>0.38057935953733218</v>
      </c>
      <c r="O26" s="305">
        <v>5.600332744664084</v>
      </c>
      <c r="P26" s="305">
        <v>6.0702263328554382</v>
      </c>
      <c r="Q26" s="305">
        <v>5.9583925536931659</v>
      </c>
      <c r="R26" s="305">
        <v>6.0702257820364069</v>
      </c>
      <c r="S26" s="305">
        <v>5.9247943533122731</v>
      </c>
      <c r="T26" s="305">
        <v>8.0761185275003946</v>
      </c>
      <c r="U26" s="305">
        <v>8.7054756897403927</v>
      </c>
      <c r="V26" s="305">
        <v>8.7054787306039607</v>
      </c>
      <c r="W26" s="305">
        <v>8.7054816567322231</v>
      </c>
      <c r="X26" s="305">
        <v>8.5481386511442423</v>
      </c>
    </row>
    <row r="27" spans="1:24" x14ac:dyDescent="0.35">
      <c r="A27" s="24" t="s">
        <v>375</v>
      </c>
      <c r="B27" s="24" t="s">
        <v>99</v>
      </c>
      <c r="C27" s="24" t="s">
        <v>101</v>
      </c>
      <c r="D27" s="377">
        <v>20</v>
      </c>
      <c r="E27" s="305">
        <v>0.12871109216295371</v>
      </c>
      <c r="F27" s="305">
        <v>0.16488965110035358</v>
      </c>
      <c r="G27" s="305">
        <v>0.1290698247123232</v>
      </c>
      <c r="H27" s="305">
        <v>0.16488969269499307</v>
      </c>
      <c r="I27" s="305">
        <v>0.14689006516765593</v>
      </c>
      <c r="J27" s="305">
        <v>0.30496198088439902</v>
      </c>
      <c r="K27" s="305">
        <v>0.38429391694929399</v>
      </c>
      <c r="L27" s="305">
        <v>0.305785571200203</v>
      </c>
      <c r="M27" s="305">
        <v>0.38429408460418302</v>
      </c>
      <c r="N27" s="305">
        <v>0.34483388840952001</v>
      </c>
      <c r="O27" s="305">
        <v>4.8933555833227169</v>
      </c>
      <c r="P27" s="305">
        <v>4.9921342474247679</v>
      </c>
      <c r="Q27" s="305">
        <v>4.9023423163981539</v>
      </c>
      <c r="R27" s="305">
        <v>4.9921344197287869</v>
      </c>
      <c r="S27" s="305">
        <v>4.9449916417186071</v>
      </c>
      <c r="T27" s="305">
        <v>7.1648447671367785</v>
      </c>
      <c r="U27" s="305">
        <v>7.1775973520688678</v>
      </c>
      <c r="V27" s="305">
        <v>7.1775981631845109</v>
      </c>
      <c r="W27" s="305">
        <v>7.1775969919830285</v>
      </c>
      <c r="X27" s="305">
        <v>7.1744093185932947</v>
      </c>
    </row>
    <row r="28" spans="1:24" x14ac:dyDescent="0.35">
      <c r="A28" s="24" t="s">
        <v>375</v>
      </c>
      <c r="B28" s="24" t="s">
        <v>99</v>
      </c>
      <c r="C28" s="24" t="s">
        <v>101</v>
      </c>
      <c r="D28" s="377">
        <v>25</v>
      </c>
      <c r="E28" s="305">
        <v>0.12475612010940886</v>
      </c>
      <c r="F28" s="305">
        <v>0.1564305044814904</v>
      </c>
      <c r="G28" s="305">
        <v>0.12510623657349257</v>
      </c>
      <c r="H28" s="305">
        <v>0.15643051869273467</v>
      </c>
      <c r="I28" s="305">
        <v>0.14068084496428171</v>
      </c>
      <c r="J28" s="305">
        <v>0.29355228813498402</v>
      </c>
      <c r="K28" s="305">
        <v>0.36367929613856997</v>
      </c>
      <c r="L28" s="305">
        <v>0.29435351257582898</v>
      </c>
      <c r="M28" s="305">
        <v>0.36367929614273897</v>
      </c>
      <c r="N28" s="305">
        <v>0.32881609824803099</v>
      </c>
      <c r="O28" s="305">
        <v>4.1696521966540576</v>
      </c>
      <c r="P28" s="305">
        <v>4.2158217792253057</v>
      </c>
      <c r="Q28" s="305">
        <v>4.1773125784708265</v>
      </c>
      <c r="R28" s="305">
        <v>4.2158210497272881</v>
      </c>
      <c r="S28" s="305">
        <v>4.1946519010193688</v>
      </c>
      <c r="T28" s="305">
        <v>6.2463092009648484</v>
      </c>
      <c r="U28" s="305">
        <v>6.257428342407592</v>
      </c>
      <c r="V28" s="305">
        <v>6.2574286325390744</v>
      </c>
      <c r="W28" s="305">
        <v>6.2574284158976816</v>
      </c>
      <c r="X28" s="305">
        <v>6.2546486479523038</v>
      </c>
    </row>
    <row r="29" spans="1:24" x14ac:dyDescent="0.35">
      <c r="A29" s="24" t="s">
        <v>375</v>
      </c>
      <c r="B29" s="24" t="s">
        <v>99</v>
      </c>
      <c r="C29" s="24" t="s">
        <v>101</v>
      </c>
      <c r="D29" s="377">
        <v>30</v>
      </c>
      <c r="E29" s="305">
        <v>0.12418504011200394</v>
      </c>
      <c r="F29" s="305">
        <v>0.1409323066553026</v>
      </c>
      <c r="G29" s="305">
        <v>0.123913974319438</v>
      </c>
      <c r="H29" s="305">
        <v>0.14093230511564445</v>
      </c>
      <c r="I29" s="305">
        <v>0.13249090655059731</v>
      </c>
      <c r="J29" s="305">
        <v>0.29062590974747998</v>
      </c>
      <c r="K29" s="305">
        <v>0.32801853162815497</v>
      </c>
      <c r="L29" s="305">
        <v>0.29000715716680697</v>
      </c>
      <c r="M29" s="305">
        <v>0.32801840621838502</v>
      </c>
      <c r="N29" s="305">
        <v>0.30916750119020697</v>
      </c>
      <c r="O29" s="305">
        <v>3.8585543455915015</v>
      </c>
      <c r="P29" s="305">
        <v>3.6815415179873257</v>
      </c>
      <c r="Q29" s="305">
        <v>3.853032622061292</v>
      </c>
      <c r="R29" s="305">
        <v>3.6815408134563099</v>
      </c>
      <c r="S29" s="305">
        <v>3.7686673247741109</v>
      </c>
      <c r="T29" s="305">
        <v>5.7583635126991073</v>
      </c>
      <c r="U29" s="305">
        <v>5.7503864576009223</v>
      </c>
      <c r="V29" s="305">
        <v>5.7503868237879221</v>
      </c>
      <c r="W29" s="305">
        <v>5.7503862549527041</v>
      </c>
      <c r="X29" s="305">
        <v>5.7523807622601622</v>
      </c>
    </row>
    <row r="30" spans="1:24" x14ac:dyDescent="0.35">
      <c r="A30" s="24" t="s">
        <v>375</v>
      </c>
      <c r="B30" s="24" t="s">
        <v>99</v>
      </c>
      <c r="C30" s="24" t="s">
        <v>101</v>
      </c>
      <c r="D30" s="377">
        <v>35</v>
      </c>
      <c r="E30" s="305">
        <v>0.12687048397551548</v>
      </c>
      <c r="F30" s="305">
        <v>0.13692768955061671</v>
      </c>
      <c r="G30" s="305">
        <v>0.12687047467063522</v>
      </c>
      <c r="H30" s="305">
        <v>0.13479867267890683</v>
      </c>
      <c r="I30" s="305">
        <v>0.13136683021891843</v>
      </c>
      <c r="J30" s="305">
        <v>0.29835009624540898</v>
      </c>
      <c r="K30" s="305">
        <v>0.32022773241404401</v>
      </c>
      <c r="L30" s="305">
        <v>0.298349972073159</v>
      </c>
      <c r="M30" s="305">
        <v>0.31600947499236998</v>
      </c>
      <c r="N30" s="305">
        <v>0.30823431893124498</v>
      </c>
      <c r="O30" s="305">
        <v>3.2183952690674329</v>
      </c>
      <c r="P30" s="305">
        <v>3.2105213960797685</v>
      </c>
      <c r="Q30" s="305">
        <v>3.2183957077671552</v>
      </c>
      <c r="R30" s="305">
        <v>3.2105209640835626</v>
      </c>
      <c r="S30" s="305">
        <v>3.2144583342494806</v>
      </c>
      <c r="T30" s="305">
        <v>4.7326916950241573</v>
      </c>
      <c r="U30" s="305">
        <v>4.7326919464042723</v>
      </c>
      <c r="V30" s="305">
        <v>4.732692597916742</v>
      </c>
      <c r="W30" s="305">
        <v>4.7326925284137333</v>
      </c>
      <c r="X30" s="305">
        <v>4.7326921919397291</v>
      </c>
    </row>
    <row r="31" spans="1:24" x14ac:dyDescent="0.35">
      <c r="A31" s="24" t="s">
        <v>375</v>
      </c>
      <c r="B31" s="24" t="s">
        <v>99</v>
      </c>
      <c r="C31" s="24" t="s">
        <v>101</v>
      </c>
      <c r="D31" s="377">
        <v>40</v>
      </c>
      <c r="E31" s="305">
        <v>0.12945810044913506</v>
      </c>
      <c r="F31" s="305">
        <v>0.1356708573070268</v>
      </c>
      <c r="G31" s="305">
        <v>0.12945811528990603</v>
      </c>
      <c r="H31" s="305">
        <v>0.13146582588921735</v>
      </c>
      <c r="I31" s="305">
        <v>0.13151322473382127</v>
      </c>
      <c r="J31" s="305">
        <v>0.30572037544357</v>
      </c>
      <c r="K31" s="305">
        <v>0.31871207064068502</v>
      </c>
      <c r="L31" s="305">
        <v>0.30572045740412501</v>
      </c>
      <c r="M31" s="305">
        <v>0.31038044825353001</v>
      </c>
      <c r="N31" s="305">
        <v>0.31013333793547698</v>
      </c>
      <c r="O31" s="305">
        <v>2.9052835463261242</v>
      </c>
      <c r="P31" s="305">
        <v>2.8991995131502839</v>
      </c>
      <c r="Q31" s="305">
        <v>2.9052839576494827</v>
      </c>
      <c r="R31" s="305">
        <v>2.8991990969879775</v>
      </c>
      <c r="S31" s="305">
        <v>2.9022415285284726</v>
      </c>
      <c r="T31" s="305">
        <v>4.3181844877315854</v>
      </c>
      <c r="U31" s="305">
        <v>4.318183887816379</v>
      </c>
      <c r="V31" s="305">
        <v>4.3181842848870104</v>
      </c>
      <c r="W31" s="305">
        <v>4.3181845605567641</v>
      </c>
      <c r="X31" s="305">
        <v>4.3181843052479341</v>
      </c>
    </row>
    <row r="32" spans="1:24" x14ac:dyDescent="0.35">
      <c r="A32" s="24" t="s">
        <v>375</v>
      </c>
      <c r="B32" s="24" t="s">
        <v>99</v>
      </c>
      <c r="C32" s="24" t="s">
        <v>101</v>
      </c>
      <c r="D32" s="377">
        <v>45</v>
      </c>
      <c r="E32" s="305">
        <v>0.13147066888371256</v>
      </c>
      <c r="F32" s="305">
        <v>0.13469333897072455</v>
      </c>
      <c r="G32" s="305">
        <v>0.1314706789590562</v>
      </c>
      <c r="H32" s="305">
        <v>0.12993345140468224</v>
      </c>
      <c r="I32" s="305">
        <v>0.13189203455454385</v>
      </c>
      <c r="J32" s="305">
        <v>0.31145257820526201</v>
      </c>
      <c r="K32" s="305">
        <v>0.317533247440906</v>
      </c>
      <c r="L32" s="305">
        <v>0.31145262166281401</v>
      </c>
      <c r="M32" s="305">
        <v>0.30773475259222</v>
      </c>
      <c r="N32" s="305">
        <v>0.3120432999753</v>
      </c>
      <c r="O32" s="305">
        <v>2.6618460585664265</v>
      </c>
      <c r="P32" s="305">
        <v>2.6573017495686546</v>
      </c>
      <c r="Q32" s="305">
        <v>2.6618463788585194</v>
      </c>
      <c r="R32" s="305">
        <v>2.65730187494208</v>
      </c>
      <c r="S32" s="305">
        <v>2.6595740154839218</v>
      </c>
      <c r="T32" s="305">
        <v>3.995816672281792</v>
      </c>
      <c r="U32" s="305">
        <v>3.9958160611765203</v>
      </c>
      <c r="V32" s="305">
        <v>3.9958162034917</v>
      </c>
      <c r="W32" s="305">
        <v>3.9958169956357197</v>
      </c>
      <c r="X32" s="305">
        <v>3.995816483146434</v>
      </c>
    </row>
    <row r="33" spans="1:24" x14ac:dyDescent="0.35">
      <c r="A33" s="24" t="s">
        <v>375</v>
      </c>
      <c r="B33" s="24" t="s">
        <v>99</v>
      </c>
      <c r="C33" s="24" t="s">
        <v>101</v>
      </c>
      <c r="D33" s="377">
        <v>50</v>
      </c>
      <c r="E33" s="305">
        <v>0.1314893877481961</v>
      </c>
      <c r="F33" s="305">
        <v>0.13427730605124302</v>
      </c>
      <c r="G33" s="305">
        <v>0.1311990885046008</v>
      </c>
      <c r="H33" s="305">
        <v>0.13050454362739167</v>
      </c>
      <c r="I33" s="305">
        <v>0.1318675814828579</v>
      </c>
      <c r="J33" s="305">
        <v>0.31237537044459401</v>
      </c>
      <c r="K33" s="305">
        <v>0.31753357058808701</v>
      </c>
      <c r="L33" s="305">
        <v>0.31169712322374199</v>
      </c>
      <c r="M33" s="305">
        <v>0.30855552464261798</v>
      </c>
      <c r="N33" s="305">
        <v>0.31254039722476001</v>
      </c>
      <c r="O33" s="305">
        <v>2.4714254509987876</v>
      </c>
      <c r="P33" s="305">
        <v>2.4657275490259161</v>
      </c>
      <c r="Q33" s="305">
        <v>2.4678510526446353</v>
      </c>
      <c r="R33" s="305">
        <v>2.4657264028862884</v>
      </c>
      <c r="S33" s="305">
        <v>2.4676826138889103</v>
      </c>
      <c r="T33" s="305">
        <v>3.623221024826683</v>
      </c>
      <c r="U33" s="305">
        <v>3.6181970776142456</v>
      </c>
      <c r="V33" s="305">
        <v>3.6181966640834204</v>
      </c>
      <c r="W33" s="305">
        <v>3.6181964274339986</v>
      </c>
      <c r="X33" s="305">
        <v>3.6194527984895877</v>
      </c>
    </row>
    <row r="34" spans="1:24" x14ac:dyDescent="0.35">
      <c r="A34" s="24" t="s">
        <v>375</v>
      </c>
      <c r="B34" s="24" t="s">
        <v>99</v>
      </c>
      <c r="C34" s="24" t="s">
        <v>101</v>
      </c>
      <c r="D34" s="377">
        <v>55</v>
      </c>
      <c r="E34" s="305">
        <v>0.13047624705327046</v>
      </c>
      <c r="F34" s="305">
        <v>0.13539735702326025</v>
      </c>
      <c r="G34" s="305">
        <v>0.13047624719946413</v>
      </c>
      <c r="H34" s="305">
        <v>0.13220580422377262</v>
      </c>
      <c r="I34" s="305">
        <v>0.13213891387494187</v>
      </c>
      <c r="J34" s="305">
        <v>0.31074206770858798</v>
      </c>
      <c r="K34" s="305">
        <v>0.32129896469564301</v>
      </c>
      <c r="L34" s="305">
        <v>0.31074207018794597</v>
      </c>
      <c r="M34" s="305">
        <v>0.31300800924456401</v>
      </c>
      <c r="N34" s="305">
        <v>0.31394777795918499</v>
      </c>
      <c r="O34" s="305">
        <v>2.3091270639390427</v>
      </c>
      <c r="P34" s="305">
        <v>2.3089846533443117</v>
      </c>
      <c r="Q34" s="305">
        <v>2.3091269913384846</v>
      </c>
      <c r="R34" s="305">
        <v>2.3089847252134028</v>
      </c>
      <c r="S34" s="305">
        <v>2.3090558584588079</v>
      </c>
      <c r="T34" s="305">
        <v>3.2652606167479665</v>
      </c>
      <c r="U34" s="305">
        <v>3.2652602892780842</v>
      </c>
      <c r="V34" s="305">
        <v>3.2652605322853554</v>
      </c>
      <c r="W34" s="305">
        <v>3.2652605809879272</v>
      </c>
      <c r="X34" s="305">
        <v>3.2652605048248353</v>
      </c>
    </row>
    <row r="35" spans="1:24" x14ac:dyDescent="0.35">
      <c r="A35" s="24" t="s">
        <v>375</v>
      </c>
      <c r="B35" s="24" t="s">
        <v>99</v>
      </c>
      <c r="C35" s="24" t="s">
        <v>101</v>
      </c>
      <c r="D35" s="377">
        <v>60</v>
      </c>
      <c r="E35" s="305">
        <v>0.1323989889290661</v>
      </c>
      <c r="F35" s="305">
        <v>0.1364351334903732</v>
      </c>
      <c r="G35" s="305">
        <v>0.13144053272419537</v>
      </c>
      <c r="H35" s="305">
        <v>0.13522815706035313</v>
      </c>
      <c r="I35" s="305">
        <v>0.13387570305099694</v>
      </c>
      <c r="J35" s="305">
        <v>0.31612699588367799</v>
      </c>
      <c r="K35" s="305">
        <v>0.32376161619637805</v>
      </c>
      <c r="L35" s="305">
        <v>0.313871904533774</v>
      </c>
      <c r="M35" s="305">
        <v>0.32016367574625165</v>
      </c>
      <c r="N35" s="305">
        <v>0.31848104809002042</v>
      </c>
      <c r="O35" s="305">
        <v>2.20926107490454</v>
      </c>
      <c r="P35" s="305">
        <v>2.2846186463751641</v>
      </c>
      <c r="Q35" s="305">
        <v>2.1987449899702476</v>
      </c>
      <c r="R35" s="305">
        <v>2.2846166605739686</v>
      </c>
      <c r="S35" s="305">
        <v>2.2443103429559801</v>
      </c>
      <c r="T35" s="305">
        <v>3.1955086336281426</v>
      </c>
      <c r="U35" s="305">
        <v>3.1855737226207892</v>
      </c>
      <c r="V35" s="305">
        <v>3.1810114213599525</v>
      </c>
      <c r="W35" s="305">
        <v>3.1855703601473779</v>
      </c>
      <c r="X35" s="305">
        <v>3.1869160344390659</v>
      </c>
    </row>
    <row r="36" spans="1:24" x14ac:dyDescent="0.35">
      <c r="A36" s="24" t="s">
        <v>375</v>
      </c>
      <c r="B36" s="24" t="s">
        <v>99</v>
      </c>
      <c r="C36" s="24" t="s">
        <v>101</v>
      </c>
      <c r="D36" s="377">
        <v>65</v>
      </c>
      <c r="E36" s="305">
        <v>0.1378584650028305</v>
      </c>
      <c r="F36" s="305">
        <v>0.13966406328986333</v>
      </c>
      <c r="G36" s="305">
        <v>0.13785846555176398</v>
      </c>
      <c r="H36" s="305">
        <v>0.13973806272718026</v>
      </c>
      <c r="I36" s="305">
        <v>0.13877976414290952</v>
      </c>
      <c r="J36" s="305">
        <v>0.33070354593860402</v>
      </c>
      <c r="K36" s="305">
        <v>0.33142389132832811</v>
      </c>
      <c r="L36" s="305">
        <v>0.33070350620217398</v>
      </c>
      <c r="M36" s="305">
        <v>0.33084124473002324</v>
      </c>
      <c r="N36" s="305">
        <v>0.33091804704978234</v>
      </c>
      <c r="O36" s="305">
        <v>2.3653551249185849</v>
      </c>
      <c r="P36" s="305">
        <v>2.5203387060718536</v>
      </c>
      <c r="Q36" s="305">
        <v>2.3653550548579112</v>
      </c>
      <c r="R36" s="305">
        <v>2.5203365532062967</v>
      </c>
      <c r="S36" s="305">
        <v>2.4428463597636618</v>
      </c>
      <c r="T36" s="305">
        <v>3.436099792890805</v>
      </c>
      <c r="U36" s="305">
        <v>3.3339217323143098</v>
      </c>
      <c r="V36" s="305">
        <v>3.4361000671965667</v>
      </c>
      <c r="W36" s="305">
        <v>3.3339186348210443</v>
      </c>
      <c r="X36" s="305">
        <v>3.3850100568056813</v>
      </c>
    </row>
    <row r="37" spans="1:24" x14ac:dyDescent="0.35">
      <c r="A37" s="24" t="s">
        <v>375</v>
      </c>
      <c r="B37" s="24" t="s">
        <v>99</v>
      </c>
      <c r="C37" s="24" t="s">
        <v>101</v>
      </c>
      <c r="D37" s="377">
        <v>70</v>
      </c>
      <c r="E37" s="305">
        <v>0.14886180036549929</v>
      </c>
      <c r="F37" s="305">
        <v>0.14856444872777644</v>
      </c>
      <c r="G37" s="305">
        <v>0.14886179740371128</v>
      </c>
      <c r="H37" s="305">
        <v>0.14864272981901627</v>
      </c>
      <c r="I37" s="305">
        <v>0.14873269407900083</v>
      </c>
      <c r="J37" s="305">
        <v>0.35788044587972401</v>
      </c>
      <c r="K37" s="305">
        <v>0.35254457410577983</v>
      </c>
      <c r="L37" s="305">
        <v>0.35788040367227297</v>
      </c>
      <c r="M37" s="305">
        <v>0.35192376932692737</v>
      </c>
      <c r="N37" s="305">
        <v>0.35505729824617605</v>
      </c>
      <c r="O37" s="305">
        <v>2.5290163455027934</v>
      </c>
      <c r="P37" s="305">
        <v>2.7435204067929919</v>
      </c>
      <c r="Q37" s="305">
        <v>2.5290161986689963</v>
      </c>
      <c r="R37" s="305">
        <v>2.743519021939806</v>
      </c>
      <c r="S37" s="305">
        <v>2.6362679932261468</v>
      </c>
      <c r="T37" s="305">
        <v>3.6567531085213911</v>
      </c>
      <c r="U37" s="305">
        <v>3.4663031149541532</v>
      </c>
      <c r="V37" s="305">
        <v>3.6567534521207068</v>
      </c>
      <c r="W37" s="305">
        <v>3.4662983016532949</v>
      </c>
      <c r="X37" s="305">
        <v>3.5615269943123864</v>
      </c>
    </row>
    <row r="38" spans="1:24" x14ac:dyDescent="0.35">
      <c r="A38" s="24" t="s">
        <v>375</v>
      </c>
      <c r="B38" s="24" t="s">
        <v>99</v>
      </c>
      <c r="C38" s="24" t="s">
        <v>101</v>
      </c>
      <c r="D38" s="377">
        <v>75</v>
      </c>
      <c r="E38" s="305">
        <v>0.15663505200516414</v>
      </c>
      <c r="F38" s="305">
        <v>0.16078287719020901</v>
      </c>
      <c r="G38" s="305">
        <v>0.15955560874869013</v>
      </c>
      <c r="H38" s="305">
        <v>0.16086718840882977</v>
      </c>
      <c r="I38" s="305">
        <v>0.15946018158822325</v>
      </c>
      <c r="J38" s="305">
        <v>0.37656821370134236</v>
      </c>
      <c r="K38" s="305">
        <v>0.38153899838034638</v>
      </c>
      <c r="L38" s="305">
        <v>0.38358952171118205</v>
      </c>
      <c r="M38" s="305">
        <v>0.38086617068181505</v>
      </c>
      <c r="N38" s="305">
        <v>0.38064072611867145</v>
      </c>
      <c r="O38" s="305">
        <v>2.5427368543321731</v>
      </c>
      <c r="P38" s="305">
        <v>2.7713631021860698</v>
      </c>
      <c r="Q38" s="305">
        <v>2.549785980947072</v>
      </c>
      <c r="R38" s="305">
        <v>2.7713597865652684</v>
      </c>
      <c r="S38" s="305">
        <v>2.6588114310076456</v>
      </c>
      <c r="T38" s="305">
        <v>3.5652412183830888</v>
      </c>
      <c r="U38" s="305">
        <v>3.366694192088449</v>
      </c>
      <c r="V38" s="305">
        <v>3.5571575213591378</v>
      </c>
      <c r="W38" s="305">
        <v>3.366690709858684</v>
      </c>
      <c r="X38" s="305">
        <v>3.46394591042234</v>
      </c>
    </row>
    <row r="39" spans="1:24" x14ac:dyDescent="0.35">
      <c r="A39" s="24" t="s">
        <v>375</v>
      </c>
      <c r="B39" s="24" t="s">
        <v>99</v>
      </c>
      <c r="C39" s="24" t="s">
        <v>102</v>
      </c>
      <c r="D39" s="378" t="s">
        <v>376</v>
      </c>
      <c r="E39" s="307">
        <v>2.437415231039978E-3</v>
      </c>
      <c r="F39" s="307">
        <v>2.7828059173099218E-3</v>
      </c>
      <c r="G39" s="307">
        <v>2.3230962806882818E-3</v>
      </c>
      <c r="H39" s="307">
        <v>3.1171046197496955E-3</v>
      </c>
      <c r="I39" s="307">
        <v>2.6350581764428382E-3</v>
      </c>
      <c r="J39" s="307">
        <v>5.0468026005546524E-3</v>
      </c>
      <c r="K39" s="307">
        <v>5.811965103445488E-3</v>
      </c>
      <c r="L39" s="307">
        <v>4.868157875898756E-3</v>
      </c>
      <c r="M39" s="307">
        <v>6.5809893344218502E-3</v>
      </c>
      <c r="N39" s="307">
        <v>5.5074284231826157E-3</v>
      </c>
      <c r="O39" s="307">
        <v>4.7894798890683966E-2</v>
      </c>
      <c r="P39" s="307">
        <v>6.7646057906937881E-2</v>
      </c>
      <c r="Q39" s="307">
        <v>5.3246459236752579E-2</v>
      </c>
      <c r="R39" s="307">
        <v>8.7822307017086973E-2</v>
      </c>
      <c r="S39" s="307">
        <v>6.7954076279629461E-2</v>
      </c>
      <c r="T39" s="307">
        <v>7.7458490545361219E-2</v>
      </c>
      <c r="U39" s="307">
        <v>0.11458759882863669</v>
      </c>
      <c r="V39" s="307">
        <v>8.4058310855414986E-2</v>
      </c>
      <c r="W39" s="307">
        <v>0.16137633706188328</v>
      </c>
      <c r="X39" s="307">
        <v>0.11632775982753431</v>
      </c>
    </row>
    <row r="40" spans="1:24" x14ac:dyDescent="0.35">
      <c r="A40" s="24" t="s">
        <v>375</v>
      </c>
      <c r="B40" s="24" t="s">
        <v>99</v>
      </c>
      <c r="C40" s="24" t="s">
        <v>102</v>
      </c>
      <c r="D40" s="377">
        <v>2.5</v>
      </c>
      <c r="E40" s="305">
        <v>1.4987788672554658E-2</v>
      </c>
      <c r="F40" s="305">
        <v>1.7897193708726774E-2</v>
      </c>
      <c r="G40" s="305">
        <v>1.4281171914224552E-2</v>
      </c>
      <c r="H40" s="305">
        <v>1.4281171722357936E-2</v>
      </c>
      <c r="I40" s="305">
        <v>1.5361831504465979E-2</v>
      </c>
      <c r="J40" s="305">
        <v>3.247773136955022E-2</v>
      </c>
      <c r="K40" s="305">
        <v>3.8458639801573442E-2</v>
      </c>
      <c r="L40" s="305">
        <v>3.0027910834178301E-2</v>
      </c>
      <c r="M40" s="305">
        <v>3.0027911251333202E-2</v>
      </c>
      <c r="N40" s="305">
        <v>3.2748048314158791E-2</v>
      </c>
      <c r="O40" s="305">
        <v>0.44098696036180873</v>
      </c>
      <c r="P40" s="305">
        <v>0.59183701755641127</v>
      </c>
      <c r="Q40" s="305">
        <v>0.46334952802046031</v>
      </c>
      <c r="R40" s="305">
        <v>0.4562819638971809</v>
      </c>
      <c r="S40" s="305">
        <v>0.48811386745896529</v>
      </c>
      <c r="T40" s="305">
        <v>0.7930259793220249</v>
      </c>
      <c r="U40" s="305">
        <v>0.77228502425310253</v>
      </c>
      <c r="V40" s="305">
        <v>0.61268577551816683</v>
      </c>
      <c r="W40" s="305">
        <v>0.61137282292694128</v>
      </c>
      <c r="X40" s="305">
        <v>0.6973424005050588</v>
      </c>
    </row>
    <row r="41" spans="1:24" x14ac:dyDescent="0.35">
      <c r="A41" s="24" t="s">
        <v>375</v>
      </c>
      <c r="B41" s="24" t="s">
        <v>99</v>
      </c>
      <c r="C41" s="24" t="s">
        <v>102</v>
      </c>
      <c r="D41" s="377">
        <v>5</v>
      </c>
      <c r="E41" s="305">
        <v>8.3791053394978443E-3</v>
      </c>
      <c r="F41" s="305">
        <v>1.0004617837136022E-2</v>
      </c>
      <c r="G41" s="305">
        <v>8.4492088264207059E-3</v>
      </c>
      <c r="H41" s="305">
        <v>8.5582071734906211E-3</v>
      </c>
      <c r="I41" s="305">
        <v>8.8477847941362976E-3</v>
      </c>
      <c r="J41" s="305">
        <v>1.8157070284270948E-2</v>
      </c>
      <c r="K41" s="305">
        <v>2.1498565641785383E-2</v>
      </c>
      <c r="L41" s="305">
        <v>1.7842449412758699E-2</v>
      </c>
      <c r="M41" s="305">
        <v>1.8126269200971899E-2</v>
      </c>
      <c r="N41" s="305">
        <v>1.8906088634946732E-2</v>
      </c>
      <c r="O41" s="305">
        <v>0.23228999425178054</v>
      </c>
      <c r="P41" s="305">
        <v>0.29921100598678524</v>
      </c>
      <c r="Q41" s="305">
        <v>0.24178650320028838</v>
      </c>
      <c r="R41" s="305">
        <v>0.24715324062516139</v>
      </c>
      <c r="S41" s="305">
        <v>0.25511018601600388</v>
      </c>
      <c r="T41" s="305">
        <v>0.40839982529589974</v>
      </c>
      <c r="U41" s="305">
        <v>0.38883075951324592</v>
      </c>
      <c r="V41" s="305">
        <v>0.33111711035188185</v>
      </c>
      <c r="W41" s="305">
        <v>0.33088934418758598</v>
      </c>
      <c r="X41" s="305">
        <v>0.3648092598371534</v>
      </c>
    </row>
    <row r="42" spans="1:24" x14ac:dyDescent="0.35">
      <c r="A42" s="24" t="s">
        <v>375</v>
      </c>
      <c r="B42" s="24" t="s">
        <v>99</v>
      </c>
      <c r="C42" s="24" t="s">
        <v>102</v>
      </c>
      <c r="D42" s="377">
        <v>10</v>
      </c>
      <c r="E42" s="305">
        <v>4.9732394925761847E-3</v>
      </c>
      <c r="F42" s="305">
        <v>6.0583193203901193E-3</v>
      </c>
      <c r="G42" s="305">
        <v>5.2987485378436366E-3</v>
      </c>
      <c r="H42" s="305">
        <v>5.6967195300684573E-3</v>
      </c>
      <c r="I42" s="305">
        <v>5.506756720219599E-3</v>
      </c>
      <c r="J42" s="305">
        <v>1.0776742307028849E-2</v>
      </c>
      <c r="K42" s="305">
        <v>1.3018505824865004E-2</v>
      </c>
      <c r="L42" s="305">
        <v>1.1366111995206001E-2</v>
      </c>
      <c r="M42" s="305">
        <v>1.2175442774605401E-2</v>
      </c>
      <c r="N42" s="305">
        <v>1.1834200725426314E-2</v>
      </c>
      <c r="O42" s="305">
        <v>0.14121335808345534</v>
      </c>
      <c r="P42" s="305">
        <v>0.17018358412555906</v>
      </c>
      <c r="Q42" s="305">
        <v>0.14777050231838729</v>
      </c>
      <c r="R42" s="305">
        <v>0.15700225682813385</v>
      </c>
      <c r="S42" s="305">
        <v>0.15404242533888388</v>
      </c>
      <c r="T42" s="305">
        <v>0.23795461868464107</v>
      </c>
      <c r="U42" s="305">
        <v>0.2311259496671465</v>
      </c>
      <c r="V42" s="305">
        <v>0.21341588531453679</v>
      </c>
      <c r="W42" s="305">
        <v>0.21340582306741276</v>
      </c>
      <c r="X42" s="305">
        <v>0.22397556918343428</v>
      </c>
    </row>
    <row r="43" spans="1:24" x14ac:dyDescent="0.35">
      <c r="A43" s="24" t="s">
        <v>375</v>
      </c>
      <c r="B43" s="24" t="s">
        <v>99</v>
      </c>
      <c r="C43" s="24" t="s">
        <v>102</v>
      </c>
      <c r="D43" s="377">
        <v>15</v>
      </c>
      <c r="E43" s="305">
        <v>3.7671349386438763E-3</v>
      </c>
      <c r="F43" s="305">
        <v>4.7428892778241067E-3</v>
      </c>
      <c r="G43" s="305">
        <v>3.7947318147182156E-3</v>
      </c>
      <c r="H43" s="305">
        <v>4.7428890021190264E-3</v>
      </c>
      <c r="I43" s="305">
        <v>4.2619112583263067E-3</v>
      </c>
      <c r="J43" s="305">
        <v>8.1631786545111936E-3</v>
      </c>
      <c r="K43" s="305">
        <v>1.01918252281999E-2</v>
      </c>
      <c r="L43" s="305">
        <v>8.4648375923279603E-3</v>
      </c>
      <c r="M43" s="305">
        <v>1.0191826714920599E-2</v>
      </c>
      <c r="N43" s="305">
        <v>9.2529170474899142E-3</v>
      </c>
      <c r="O43" s="305">
        <v>0.11350189923288356</v>
      </c>
      <c r="P43" s="305">
        <v>0.12951342768211477</v>
      </c>
      <c r="Q43" s="305">
        <v>0.11676899430119485</v>
      </c>
      <c r="R43" s="305">
        <v>0.12951341720042042</v>
      </c>
      <c r="S43" s="305">
        <v>0.1223244346041534</v>
      </c>
      <c r="T43" s="305">
        <v>0.20221090740326209</v>
      </c>
      <c r="U43" s="305">
        <v>0.19843367320860347</v>
      </c>
      <c r="V43" s="305">
        <v>0.19843366809887336</v>
      </c>
      <c r="W43" s="305">
        <v>0.19843367021762645</v>
      </c>
      <c r="X43" s="305">
        <v>0.19937797973209134</v>
      </c>
    </row>
    <row r="44" spans="1:24" x14ac:dyDescent="0.35">
      <c r="A44" s="24" t="s">
        <v>375</v>
      </c>
      <c r="B44" s="24" t="s">
        <v>99</v>
      </c>
      <c r="C44" s="24" t="s">
        <v>102</v>
      </c>
      <c r="D44" s="377">
        <v>20</v>
      </c>
      <c r="E44" s="305">
        <v>2.9601442471613778E-3</v>
      </c>
      <c r="F44" s="305">
        <v>4.1112989396438308E-3</v>
      </c>
      <c r="G44" s="305">
        <v>2.9601443053452682E-3</v>
      </c>
      <c r="H44" s="305">
        <v>4.1112990300384783E-3</v>
      </c>
      <c r="I44" s="305">
        <v>3.5357216305472398E-3</v>
      </c>
      <c r="J44" s="305">
        <v>6.41447326052002E-3</v>
      </c>
      <c r="K44" s="305">
        <v>8.8557345237252998E-3</v>
      </c>
      <c r="L44" s="305">
        <v>6.4144736267432202E-3</v>
      </c>
      <c r="M44" s="305">
        <v>8.8557354223060703E-3</v>
      </c>
      <c r="N44" s="305">
        <v>7.6351042083236502E-3</v>
      </c>
      <c r="O44" s="305">
        <v>0.10100349027008812</v>
      </c>
      <c r="P44" s="305">
        <v>0.11109209001496077</v>
      </c>
      <c r="Q44" s="305">
        <v>0.10100346748344952</v>
      </c>
      <c r="R44" s="305">
        <v>0.11109207219036174</v>
      </c>
      <c r="S44" s="305">
        <v>0.10604777998971508</v>
      </c>
      <c r="T44" s="305">
        <v>0.17940190854896526</v>
      </c>
      <c r="U44" s="305">
        <v>0.17940188606888216</v>
      </c>
      <c r="V44" s="305">
        <v>0.17940189883413044</v>
      </c>
      <c r="W44" s="305">
        <v>0.17940189635310891</v>
      </c>
      <c r="X44" s="305">
        <v>0.17940189745127169</v>
      </c>
    </row>
    <row r="45" spans="1:24" x14ac:dyDescent="0.35">
      <c r="A45" s="24" t="s">
        <v>375</v>
      </c>
      <c r="B45" s="24" t="s">
        <v>99</v>
      </c>
      <c r="C45" s="24" t="s">
        <v>102</v>
      </c>
      <c r="D45" s="377">
        <v>25</v>
      </c>
      <c r="E45" s="305">
        <v>2.7334350798974972E-3</v>
      </c>
      <c r="F45" s="305">
        <v>3.4209561916229308E-3</v>
      </c>
      <c r="G45" s="305">
        <v>2.7334347022611809E-3</v>
      </c>
      <c r="H45" s="305">
        <v>3.4209565354165611E-3</v>
      </c>
      <c r="I45" s="305">
        <v>3.07719562729954E-3</v>
      </c>
      <c r="J45" s="305">
        <v>5.7910524871355503E-3</v>
      </c>
      <c r="K45" s="305">
        <v>7.3609864690903698E-3</v>
      </c>
      <c r="L45" s="305">
        <v>5.7910513714887202E-3</v>
      </c>
      <c r="M45" s="305">
        <v>7.3609865115334501E-3</v>
      </c>
      <c r="N45" s="305">
        <v>6.57601920981202E-3</v>
      </c>
      <c r="O45" s="305">
        <v>9.1219700871048748E-2</v>
      </c>
      <c r="P45" s="305">
        <v>9.6552612724294246E-2</v>
      </c>
      <c r="Q45" s="305">
        <v>9.1219686989574E-2</v>
      </c>
      <c r="R45" s="305">
        <v>9.6552612486487943E-2</v>
      </c>
      <c r="S45" s="305">
        <v>9.3886153267851269E-2</v>
      </c>
      <c r="T45" s="305">
        <v>0.1668087750178773</v>
      </c>
      <c r="U45" s="305">
        <v>0.1668087686223424</v>
      </c>
      <c r="V45" s="305">
        <v>0.1668087593621731</v>
      </c>
      <c r="W45" s="305">
        <v>0.16680876183924126</v>
      </c>
      <c r="X45" s="305">
        <v>0.16680876621040849</v>
      </c>
    </row>
    <row r="46" spans="1:24" x14ac:dyDescent="0.35">
      <c r="A46" s="24" t="s">
        <v>375</v>
      </c>
      <c r="B46" s="24" t="s">
        <v>99</v>
      </c>
      <c r="C46" s="24" t="s">
        <v>102</v>
      </c>
      <c r="D46" s="377">
        <v>30</v>
      </c>
      <c r="E46" s="305">
        <v>2.6147575416774213E-3</v>
      </c>
      <c r="F46" s="305">
        <v>3.0411418785473206E-3</v>
      </c>
      <c r="G46" s="305">
        <v>2.6147581199417852E-3</v>
      </c>
      <c r="H46" s="305">
        <v>3.0411416408329789E-3</v>
      </c>
      <c r="I46" s="305">
        <v>2.8279497952498791E-3</v>
      </c>
      <c r="J46" s="305">
        <v>5.4538375018940597E-3</v>
      </c>
      <c r="K46" s="305">
        <v>6.3859916699584504E-3</v>
      </c>
      <c r="L46" s="305">
        <v>5.4538385617585502E-3</v>
      </c>
      <c r="M46" s="305">
        <v>6.38599004014395E-3</v>
      </c>
      <c r="N46" s="305">
        <v>5.9199144434387502E-3</v>
      </c>
      <c r="O46" s="305">
        <v>8.7183602675909744E-2</v>
      </c>
      <c r="P46" s="305">
        <v>8.5639732219703252E-2</v>
      </c>
      <c r="Q46" s="305">
        <v>8.7183591575776639E-2</v>
      </c>
      <c r="R46" s="305">
        <v>8.5639730649736734E-2</v>
      </c>
      <c r="S46" s="305">
        <v>8.6411664280281561E-2</v>
      </c>
      <c r="T46" s="305">
        <v>0.16001823647359295</v>
      </c>
      <c r="U46" s="305">
        <v>0.16001822903533686</v>
      </c>
      <c r="V46" s="305">
        <v>0.16001822761549289</v>
      </c>
      <c r="W46" s="305">
        <v>0.1600182308675438</v>
      </c>
      <c r="X46" s="305">
        <v>0.16001823099799162</v>
      </c>
    </row>
    <row r="47" spans="1:24" x14ac:dyDescent="0.35">
      <c r="A47" s="24" t="s">
        <v>375</v>
      </c>
      <c r="B47" s="24" t="s">
        <v>99</v>
      </c>
      <c r="C47" s="24" t="s">
        <v>102</v>
      </c>
      <c r="D47" s="377">
        <v>35</v>
      </c>
      <c r="E47" s="305">
        <v>2.5583103924435011E-3</v>
      </c>
      <c r="F47" s="305">
        <v>2.869138594515232E-3</v>
      </c>
      <c r="G47" s="305">
        <v>2.5583103572131959E-3</v>
      </c>
      <c r="H47" s="305">
        <v>2.7822866444148072E-3</v>
      </c>
      <c r="I47" s="305">
        <v>2.6920114971466904E-3</v>
      </c>
      <c r="J47" s="305">
        <v>5.3360370584414297E-3</v>
      </c>
      <c r="K47" s="305">
        <v>5.9932151283040398E-3</v>
      </c>
      <c r="L47" s="305">
        <v>5.3360367346613202E-3</v>
      </c>
      <c r="M47" s="305">
        <v>5.8258771787222897E-3</v>
      </c>
      <c r="N47" s="305">
        <v>5.6227915250322696E-3</v>
      </c>
      <c r="O47" s="305">
        <v>7.036523146171883E-2</v>
      </c>
      <c r="P47" s="305">
        <v>7.3325073982662928E-2</v>
      </c>
      <c r="Q47" s="305">
        <v>7.0365234148727765E-2</v>
      </c>
      <c r="R47" s="305">
        <v>7.3325056543822084E-2</v>
      </c>
      <c r="S47" s="305">
        <v>7.1845149034232975E-2</v>
      </c>
      <c r="T47" s="305">
        <v>0.12154825781666713</v>
      </c>
      <c r="U47" s="305">
        <v>0.12154819738138002</v>
      </c>
      <c r="V47" s="305">
        <v>0.12154825793417885</v>
      </c>
      <c r="W47" s="305">
        <v>0.12154816736732448</v>
      </c>
      <c r="X47" s="305">
        <v>0.12154822012488745</v>
      </c>
    </row>
    <row r="48" spans="1:24" x14ac:dyDescent="0.35">
      <c r="A48" s="24" t="s">
        <v>375</v>
      </c>
      <c r="B48" s="24" t="s">
        <v>99</v>
      </c>
      <c r="C48" s="24" t="s">
        <v>102</v>
      </c>
      <c r="D48" s="377">
        <v>40</v>
      </c>
      <c r="E48" s="305">
        <v>2.5187303380030967E-3</v>
      </c>
      <c r="F48" s="305">
        <v>2.7612227480085941E-3</v>
      </c>
      <c r="G48" s="305">
        <v>2.5187302492883953E-3</v>
      </c>
      <c r="H48" s="305">
        <v>2.5896738485943318E-3</v>
      </c>
      <c r="I48" s="305">
        <v>2.5970892959736032E-3</v>
      </c>
      <c r="J48" s="305">
        <v>5.25964762709918E-3</v>
      </c>
      <c r="K48" s="305">
        <v>5.7666525972308504E-3</v>
      </c>
      <c r="L48" s="305">
        <v>5.2596475852624202E-3</v>
      </c>
      <c r="M48" s="305">
        <v>5.4361309448722698E-3</v>
      </c>
      <c r="N48" s="305">
        <v>5.4305196886161797E-3</v>
      </c>
      <c r="O48" s="305">
        <v>6.4493768472269897E-2</v>
      </c>
      <c r="P48" s="305">
        <v>6.6226303888006613E-2</v>
      </c>
      <c r="Q48" s="305">
        <v>6.4493763135500509E-2</v>
      </c>
      <c r="R48" s="305">
        <v>6.6226275610464957E-2</v>
      </c>
      <c r="S48" s="305">
        <v>6.5360027776560456E-2</v>
      </c>
      <c r="T48" s="305">
        <v>0.1128474492129678</v>
      </c>
      <c r="U48" s="305">
        <v>0.11284744919045085</v>
      </c>
      <c r="V48" s="305">
        <v>0.11284746112348837</v>
      </c>
      <c r="W48" s="305">
        <v>0.11284745232362324</v>
      </c>
      <c r="X48" s="305">
        <v>0.11284745296263221</v>
      </c>
    </row>
    <row r="49" spans="1:24" x14ac:dyDescent="0.35">
      <c r="A49" s="24" t="s">
        <v>375</v>
      </c>
      <c r="B49" s="24" t="s">
        <v>99</v>
      </c>
      <c r="C49" s="24" t="s">
        <v>102</v>
      </c>
      <c r="D49" s="377">
        <v>45</v>
      </c>
      <c r="E49" s="305">
        <v>2.4879404966901479E-3</v>
      </c>
      <c r="F49" s="305">
        <v>2.6772854624702029E-3</v>
      </c>
      <c r="G49" s="305">
        <v>2.4879404874529362E-3</v>
      </c>
      <c r="H49" s="305">
        <v>2.4695568996108805E-3</v>
      </c>
      <c r="I49" s="305">
        <v>2.5306808365560454E-3</v>
      </c>
      <c r="J49" s="305">
        <v>5.20023332258764E-3</v>
      </c>
      <c r="K49" s="305">
        <v>5.5904374457895704E-3</v>
      </c>
      <c r="L49" s="305">
        <v>5.2002331431140096E-3</v>
      </c>
      <c r="M49" s="305">
        <v>5.1656511786859396E-3</v>
      </c>
      <c r="N49" s="305">
        <v>5.2891387725442903E-3</v>
      </c>
      <c r="O49" s="305">
        <v>5.9840597222975675E-2</v>
      </c>
      <c r="P49" s="305">
        <v>6.0655574052291321E-2</v>
      </c>
      <c r="Q49" s="305">
        <v>5.9840589843965265E-2</v>
      </c>
      <c r="R49" s="305">
        <v>6.0655568878167004E-2</v>
      </c>
      <c r="S49" s="305">
        <v>6.0248082499349806E-2</v>
      </c>
      <c r="T49" s="305">
        <v>0.10608980393601498</v>
      </c>
      <c r="U49" s="305">
        <v>0.10608980686413111</v>
      </c>
      <c r="V49" s="305">
        <v>0.10608980403042061</v>
      </c>
      <c r="W49" s="305">
        <v>0.10608980460136912</v>
      </c>
      <c r="X49" s="305">
        <v>0.10608980485798394</v>
      </c>
    </row>
    <row r="50" spans="1:24" x14ac:dyDescent="0.35">
      <c r="A50" s="24" t="s">
        <v>375</v>
      </c>
      <c r="B50" s="24" t="s">
        <v>99</v>
      </c>
      <c r="C50" s="24" t="s">
        <v>102</v>
      </c>
      <c r="D50" s="377">
        <v>50</v>
      </c>
      <c r="E50" s="305">
        <v>2.385687203425252E-3</v>
      </c>
      <c r="F50" s="305">
        <v>2.6043066008611931E-3</v>
      </c>
      <c r="G50" s="305">
        <v>2.3856872096661708E-3</v>
      </c>
      <c r="H50" s="305">
        <v>2.4238270185731395E-3</v>
      </c>
      <c r="I50" s="305">
        <v>2.4498770081314348E-3</v>
      </c>
      <c r="J50" s="305">
        <v>4.99444198794662E-3</v>
      </c>
      <c r="K50" s="305">
        <v>5.4308175313053601E-3</v>
      </c>
      <c r="L50" s="305">
        <v>4.9944420716201404E-3</v>
      </c>
      <c r="M50" s="305">
        <v>5.0046151300193699E-3</v>
      </c>
      <c r="N50" s="305">
        <v>5.10607918022287E-3</v>
      </c>
      <c r="O50" s="305">
        <v>5.5417695940540565E-2</v>
      </c>
      <c r="P50" s="305">
        <v>5.5798550991019824E-2</v>
      </c>
      <c r="Q50" s="305">
        <v>5.541769044323152E-2</v>
      </c>
      <c r="R50" s="305">
        <v>5.5798541719397111E-2</v>
      </c>
      <c r="S50" s="305">
        <v>5.5608119773547265E-2</v>
      </c>
      <c r="T50" s="305">
        <v>9.2985017329827169E-2</v>
      </c>
      <c r="U50" s="305">
        <v>9.2985063733782E-2</v>
      </c>
      <c r="V50" s="305">
        <v>9.2985087962108873E-2</v>
      </c>
      <c r="W50" s="305">
        <v>9.2985059531079425E-2</v>
      </c>
      <c r="X50" s="305">
        <v>9.2985057139199731E-2</v>
      </c>
    </row>
    <row r="51" spans="1:24" x14ac:dyDescent="0.35">
      <c r="A51" s="24" t="s">
        <v>375</v>
      </c>
      <c r="B51" s="24" t="s">
        <v>99</v>
      </c>
      <c r="C51" s="24" t="s">
        <v>102</v>
      </c>
      <c r="D51" s="377">
        <v>55</v>
      </c>
      <c r="E51" s="305">
        <v>2.2813689803338013E-3</v>
      </c>
      <c r="F51" s="305">
        <v>2.5213401275997428E-3</v>
      </c>
      <c r="G51" s="305">
        <v>2.2813689947030228E-3</v>
      </c>
      <c r="H51" s="305">
        <v>2.4033547862722087E-3</v>
      </c>
      <c r="I51" s="305">
        <v>2.3718582222271977E-3</v>
      </c>
      <c r="J51" s="305">
        <v>4.7839688195381296E-3</v>
      </c>
      <c r="K51" s="305">
        <v>5.2258150753914301E-3</v>
      </c>
      <c r="L51" s="305">
        <v>4.7839684120844998E-3</v>
      </c>
      <c r="M51" s="305">
        <v>4.9316886676630603E-3</v>
      </c>
      <c r="N51" s="305">
        <v>4.9313602436692801E-3</v>
      </c>
      <c r="O51" s="305">
        <v>5.1798965359320256E-2</v>
      </c>
      <c r="P51" s="305">
        <v>5.1824603026466833E-2</v>
      </c>
      <c r="Q51" s="305">
        <v>5.1798971765766616E-2</v>
      </c>
      <c r="R51" s="305">
        <v>5.1824599538446182E-2</v>
      </c>
      <c r="S51" s="305">
        <v>5.1811784922499993E-2</v>
      </c>
      <c r="T51" s="305">
        <v>7.8107102649074847E-2</v>
      </c>
      <c r="U51" s="305">
        <v>7.8107114735928546E-2</v>
      </c>
      <c r="V51" s="305">
        <v>7.8107126117619052E-2</v>
      </c>
      <c r="W51" s="305">
        <v>7.8107114592163074E-2</v>
      </c>
      <c r="X51" s="305">
        <v>7.8107114523696411E-2</v>
      </c>
    </row>
    <row r="52" spans="1:24" x14ac:dyDescent="0.35">
      <c r="A52" s="24" t="s">
        <v>375</v>
      </c>
      <c r="B52" s="24" t="s">
        <v>99</v>
      </c>
      <c r="C52" s="24" t="s">
        <v>102</v>
      </c>
      <c r="D52" s="377">
        <v>60</v>
      </c>
      <c r="E52" s="305">
        <v>2.2421284310731393E-3</v>
      </c>
      <c r="F52" s="305">
        <v>2.4091999347579636E-3</v>
      </c>
      <c r="G52" s="305">
        <v>2.2421285516068461E-3</v>
      </c>
      <c r="H52" s="305">
        <v>2.3633218547633871E-3</v>
      </c>
      <c r="I52" s="305">
        <v>2.314194693050334E-3</v>
      </c>
      <c r="J52" s="305">
        <v>4.69686828243235E-3</v>
      </c>
      <c r="K52" s="305">
        <v>4.9933895077756262E-3</v>
      </c>
      <c r="L52" s="305">
        <v>4.6968678555761702E-3</v>
      </c>
      <c r="M52" s="305">
        <v>4.8495410148141783E-3</v>
      </c>
      <c r="N52" s="305">
        <v>4.8091666651495814E-3</v>
      </c>
      <c r="O52" s="305">
        <v>4.8059114713126516E-2</v>
      </c>
      <c r="P52" s="305">
        <v>4.756275607607037E-2</v>
      </c>
      <c r="Q52" s="305">
        <v>4.8059110500695945E-2</v>
      </c>
      <c r="R52" s="305">
        <v>4.7563253726501518E-2</v>
      </c>
      <c r="S52" s="305">
        <v>4.7811058754098586E-2</v>
      </c>
      <c r="T52" s="305">
        <v>7.1576438516702812E-2</v>
      </c>
      <c r="U52" s="305">
        <v>7.1338876654729641E-2</v>
      </c>
      <c r="V52" s="305">
        <v>7.1576458888290589E-2</v>
      </c>
      <c r="W52" s="305">
        <v>7.1339154984061418E-2</v>
      </c>
      <c r="X52" s="305">
        <v>7.1457732260946122E-2</v>
      </c>
    </row>
    <row r="53" spans="1:24" x14ac:dyDescent="0.35">
      <c r="A53" s="24" t="s">
        <v>375</v>
      </c>
      <c r="B53" s="24" t="s">
        <v>99</v>
      </c>
      <c r="C53" s="24" t="s">
        <v>102</v>
      </c>
      <c r="D53" s="377">
        <v>65</v>
      </c>
      <c r="E53" s="305">
        <v>2.3607156946902118E-3</v>
      </c>
      <c r="F53" s="305">
        <v>2.3656837834325297E-3</v>
      </c>
      <c r="G53" s="305">
        <v>2.3607156946902118E-3</v>
      </c>
      <c r="H53" s="305">
        <v>2.366151363315922E-3</v>
      </c>
      <c r="I53" s="305">
        <v>2.3633166340322189E-3</v>
      </c>
      <c r="J53" s="305">
        <v>4.9146831515827199E-3</v>
      </c>
      <c r="K53" s="305">
        <v>4.9031964564176756E-3</v>
      </c>
      <c r="L53" s="305">
        <v>4.9146831515827199E-3</v>
      </c>
      <c r="M53" s="305">
        <v>4.8553471718340664E-3</v>
      </c>
      <c r="N53" s="305">
        <v>4.896977482854295E-3</v>
      </c>
      <c r="O53" s="305">
        <v>4.7863934561649703E-2</v>
      </c>
      <c r="P53" s="305">
        <v>4.8675903072063903E-2</v>
      </c>
      <c r="Q53" s="305">
        <v>4.7863933341427328E-2</v>
      </c>
      <c r="R53" s="305">
        <v>4.8679142811715759E-2</v>
      </c>
      <c r="S53" s="305">
        <v>4.8270728446714171E-2</v>
      </c>
      <c r="T53" s="305">
        <v>7.5944018709161815E-2</v>
      </c>
      <c r="U53" s="305">
        <v>7.2907354906020128E-2</v>
      </c>
      <c r="V53" s="305">
        <v>7.5944018632469912E-2</v>
      </c>
      <c r="W53" s="305">
        <v>7.2913905372313015E-2</v>
      </c>
      <c r="X53" s="305">
        <v>7.4427324404991224E-2</v>
      </c>
    </row>
    <row r="54" spans="1:24" x14ac:dyDescent="0.35">
      <c r="A54" s="24" t="s">
        <v>375</v>
      </c>
      <c r="B54" s="24" t="s">
        <v>99</v>
      </c>
      <c r="C54" s="24" t="s">
        <v>102</v>
      </c>
      <c r="D54" s="377">
        <v>70</v>
      </c>
      <c r="E54" s="305">
        <v>2.5524645355646278E-3</v>
      </c>
      <c r="F54" s="305">
        <v>2.4586752332989379E-3</v>
      </c>
      <c r="G54" s="305">
        <v>2.5524645376689427E-3</v>
      </c>
      <c r="H54" s="305">
        <v>2.4616611787382516E-3</v>
      </c>
      <c r="I54" s="305">
        <v>2.5063163713176903E-3</v>
      </c>
      <c r="J54" s="305">
        <v>5.2449817740125504E-3</v>
      </c>
      <c r="K54" s="305">
        <v>5.0959336897940391E-3</v>
      </c>
      <c r="L54" s="305">
        <v>5.2449821814661802E-3</v>
      </c>
      <c r="M54" s="305">
        <v>5.0513334977229252E-3</v>
      </c>
      <c r="N54" s="305">
        <v>5.1593077857489244E-3</v>
      </c>
      <c r="O54" s="305">
        <v>4.7941095384235369E-2</v>
      </c>
      <c r="P54" s="305">
        <v>5.0018769724633705E-2</v>
      </c>
      <c r="Q54" s="305">
        <v>4.7941097203929785E-2</v>
      </c>
      <c r="R54" s="305">
        <v>5.0024508853162543E-2</v>
      </c>
      <c r="S54" s="305">
        <v>4.898136779149035E-2</v>
      </c>
      <c r="T54" s="305">
        <v>7.9730198299660326E-2</v>
      </c>
      <c r="U54" s="305">
        <v>7.4294143689173892E-2</v>
      </c>
      <c r="V54" s="305">
        <v>7.9730216453418448E-2</v>
      </c>
      <c r="W54" s="305">
        <v>7.4306072989190827E-2</v>
      </c>
      <c r="X54" s="305">
        <v>7.701515785786088E-2</v>
      </c>
    </row>
    <row r="55" spans="1:24" x14ac:dyDescent="0.35">
      <c r="A55" s="24" t="s">
        <v>375</v>
      </c>
      <c r="B55" s="24" t="s">
        <v>99</v>
      </c>
      <c r="C55" s="24" t="s">
        <v>102</v>
      </c>
      <c r="D55" s="377">
        <v>75</v>
      </c>
      <c r="E55" s="305">
        <v>2.5149615002572718E-3</v>
      </c>
      <c r="F55" s="305">
        <v>2.7336044470270605E-3</v>
      </c>
      <c r="G55" s="305">
        <v>2.6901952649295048E-3</v>
      </c>
      <c r="H55" s="305">
        <v>2.7403582930262305E-3</v>
      </c>
      <c r="I55" s="305">
        <v>2.6697798763100169E-3</v>
      </c>
      <c r="J55" s="305">
        <v>5.1679179269281022E-3</v>
      </c>
      <c r="K55" s="305">
        <v>5.6657613041007472E-3</v>
      </c>
      <c r="L55" s="305">
        <v>5.5280008873721826E-3</v>
      </c>
      <c r="M55" s="305">
        <v>5.6232205150268883E-3</v>
      </c>
      <c r="N55" s="305">
        <v>5.4962251583569799E-3</v>
      </c>
      <c r="O55" s="305">
        <v>4.6862207555389883E-2</v>
      </c>
      <c r="P55" s="305">
        <v>4.9203217675950518E-2</v>
      </c>
      <c r="Q55" s="305">
        <v>4.7018185541536091E-2</v>
      </c>
      <c r="R55" s="305">
        <v>4.9210054863213649E-2</v>
      </c>
      <c r="S55" s="305">
        <v>4.8073416409022532E-2</v>
      </c>
      <c r="T55" s="305">
        <v>7.6784116678797643E-2</v>
      </c>
      <c r="U55" s="305">
        <v>7.156382080120488E-2</v>
      </c>
      <c r="V55" s="305">
        <v>7.6791891633166062E-2</v>
      </c>
      <c r="W55" s="305">
        <v>7.1576945195283764E-2</v>
      </c>
      <c r="X55" s="305">
        <v>7.4179193577113084E-2</v>
      </c>
    </row>
    <row r="56" spans="1:24" x14ac:dyDescent="0.35">
      <c r="A56" s="24" t="s">
        <v>375</v>
      </c>
      <c r="B56" s="24" t="s">
        <v>103</v>
      </c>
      <c r="C56" s="24" t="s">
        <v>101</v>
      </c>
      <c r="D56" s="306" t="s">
        <v>376</v>
      </c>
      <c r="E56" s="307">
        <v>0.13961155461961139</v>
      </c>
      <c r="F56" s="307">
        <v>0.13371744347925366</v>
      </c>
      <c r="G56" s="307">
        <v>0.12835875333826102</v>
      </c>
      <c r="H56" s="307">
        <v>0.14193420207951982</v>
      </c>
      <c r="I56" s="307">
        <v>0.12918463409807573</v>
      </c>
      <c r="J56" s="307">
        <v>0.33505007630678824</v>
      </c>
      <c r="K56" s="307">
        <v>0.31397039611347261</v>
      </c>
      <c r="L56" s="307">
        <v>0.30532211669706116</v>
      </c>
      <c r="M56" s="307">
        <v>0.33060747267095358</v>
      </c>
      <c r="N56" s="307">
        <v>0.3041146667263126</v>
      </c>
      <c r="O56" s="307">
        <v>3.2060573178110578</v>
      </c>
      <c r="P56" s="307">
        <v>3.6507178689197874</v>
      </c>
      <c r="Q56" s="307">
        <v>3.0508433905042058</v>
      </c>
      <c r="R56" s="307">
        <v>4.7164725809357995</v>
      </c>
      <c r="S56" s="307">
        <v>3.7156062541451895</v>
      </c>
      <c r="T56" s="307">
        <v>3.3774191635204209</v>
      </c>
      <c r="U56" s="307">
        <v>4.2176809286645067</v>
      </c>
      <c r="V56" s="307">
        <v>3.2643541734191261</v>
      </c>
      <c r="W56" s="307">
        <v>5.6080588143506844</v>
      </c>
      <c r="X56" s="307">
        <v>4.2971356338568221</v>
      </c>
    </row>
    <row r="57" spans="1:24" x14ac:dyDescent="0.35">
      <c r="A57" s="24" t="s">
        <v>375</v>
      </c>
      <c r="B57" s="24" t="s">
        <v>103</v>
      </c>
      <c r="C57" s="24" t="s">
        <v>101</v>
      </c>
      <c r="D57" s="377">
        <v>2.5</v>
      </c>
      <c r="E57" s="305">
        <v>0.6327221159666</v>
      </c>
      <c r="F57" s="305">
        <v>0.46590899317567125</v>
      </c>
      <c r="G57" s="305">
        <v>0.34601886933443138</v>
      </c>
      <c r="H57" s="305">
        <v>0.34601883627950841</v>
      </c>
      <c r="I57" s="305">
        <v>0.44766720368905283</v>
      </c>
      <c r="J57" s="305">
        <v>1.4999762085492829</v>
      </c>
      <c r="K57" s="305">
        <v>1.0975405858549694</v>
      </c>
      <c r="L57" s="305">
        <v>0.88591437010957896</v>
      </c>
      <c r="M57" s="305">
        <v>0.88591437259310601</v>
      </c>
      <c r="N57" s="305">
        <v>1.0923363842767344</v>
      </c>
      <c r="O57" s="305">
        <v>26.664840897803955</v>
      </c>
      <c r="P57" s="305">
        <v>32.914415377908249</v>
      </c>
      <c r="Q57" s="305">
        <v>28.791428811848096</v>
      </c>
      <c r="R57" s="305">
        <v>27.171581463267398</v>
      </c>
      <c r="S57" s="305">
        <v>28.885566637706926</v>
      </c>
      <c r="T57" s="305">
        <v>30.643215466875354</v>
      </c>
      <c r="U57" s="305">
        <v>32.430618088534509</v>
      </c>
      <c r="V57" s="305">
        <v>32.186349045006367</v>
      </c>
      <c r="W57" s="305">
        <v>32.058749399483219</v>
      </c>
      <c r="X57" s="305">
        <v>31.829732999974862</v>
      </c>
    </row>
    <row r="58" spans="1:24" x14ac:dyDescent="0.35">
      <c r="A58" s="24" t="s">
        <v>375</v>
      </c>
      <c r="B58" s="24" t="s">
        <v>103</v>
      </c>
      <c r="C58" s="24" t="s">
        <v>101</v>
      </c>
      <c r="D58" s="377">
        <v>5</v>
      </c>
      <c r="E58" s="305">
        <v>0.42976342360079767</v>
      </c>
      <c r="F58" s="305">
        <v>0.30842783528847739</v>
      </c>
      <c r="G58" s="305">
        <v>0.24318372384848835</v>
      </c>
      <c r="H58" s="305">
        <v>0.24282041132589224</v>
      </c>
      <c r="I58" s="305">
        <v>0.30604884851591391</v>
      </c>
      <c r="J58" s="305">
        <v>1.0188278462830158</v>
      </c>
      <c r="K58" s="305">
        <v>0.72656263775715368</v>
      </c>
      <c r="L58" s="305">
        <v>0.59968452528058402</v>
      </c>
      <c r="M58" s="305">
        <v>0.60033083219180605</v>
      </c>
      <c r="N58" s="305">
        <v>0.73635146037813992</v>
      </c>
      <c r="O58" s="305">
        <v>13.573919470892616</v>
      </c>
      <c r="P58" s="305">
        <v>16.616548923262101</v>
      </c>
      <c r="Q58" s="305">
        <v>15.155504511048298</v>
      </c>
      <c r="R58" s="305">
        <v>15.029979499056896</v>
      </c>
      <c r="S58" s="305">
        <v>15.093988101064976</v>
      </c>
      <c r="T58" s="305">
        <v>15.389266815828753</v>
      </c>
      <c r="U58" s="305">
        <v>16.343750749334813</v>
      </c>
      <c r="V58" s="305">
        <v>17.632483612941034</v>
      </c>
      <c r="W58" s="305">
        <v>17.589003883184262</v>
      </c>
      <c r="X58" s="305">
        <v>16.738626265322214</v>
      </c>
    </row>
    <row r="59" spans="1:24" x14ac:dyDescent="0.35">
      <c r="A59" s="24" t="s">
        <v>375</v>
      </c>
      <c r="B59" s="24" t="s">
        <v>103</v>
      </c>
      <c r="C59" s="24" t="s">
        <v>101</v>
      </c>
      <c r="D59" s="377">
        <v>10</v>
      </c>
      <c r="E59" s="305">
        <v>0.2958281727450317</v>
      </c>
      <c r="F59" s="305">
        <v>0.2164484914445079</v>
      </c>
      <c r="G59" s="305">
        <v>0.18534833698458369</v>
      </c>
      <c r="H59" s="305">
        <v>0.19122126029406744</v>
      </c>
      <c r="I59" s="305">
        <v>0.22221156536704767</v>
      </c>
      <c r="J59" s="305">
        <v>0.70131138099743418</v>
      </c>
      <c r="K59" s="305">
        <v>0.50988714016485415</v>
      </c>
      <c r="L59" s="305">
        <v>0.44348182422739502</v>
      </c>
      <c r="M59" s="305">
        <v>0.45753939485469602</v>
      </c>
      <c r="N59" s="305">
        <v>0.52805493506109491</v>
      </c>
      <c r="O59" s="305">
        <v>8.2313360958947541</v>
      </c>
      <c r="P59" s="305">
        <v>9.3041376555544826</v>
      </c>
      <c r="Q59" s="305">
        <v>8.987311673971508</v>
      </c>
      <c r="R59" s="305">
        <v>8.8135577011853403</v>
      </c>
      <c r="S59" s="305">
        <v>8.8340857816515221</v>
      </c>
      <c r="T59" s="305">
        <v>9.2561532523579331</v>
      </c>
      <c r="U59" s="305">
        <v>9.8732388328118699</v>
      </c>
      <c r="V59" s="305">
        <v>10.56450521827505</v>
      </c>
      <c r="W59" s="305">
        <v>10.560396303170597</v>
      </c>
      <c r="X59" s="305">
        <v>10.063573401653864</v>
      </c>
    </row>
    <row r="60" spans="1:24" x14ac:dyDescent="0.35">
      <c r="A60" s="24" t="s">
        <v>375</v>
      </c>
      <c r="B60" s="24" t="s">
        <v>103</v>
      </c>
      <c r="C60" s="24" t="s">
        <v>101</v>
      </c>
      <c r="D60" s="377">
        <v>15</v>
      </c>
      <c r="E60" s="305">
        <v>0.18671812318003198</v>
      </c>
      <c r="F60" s="305">
        <v>0.17402156180803063</v>
      </c>
      <c r="G60" s="305">
        <v>0.15364714418068445</v>
      </c>
      <c r="H60" s="305">
        <v>0.17402160279735557</v>
      </c>
      <c r="I60" s="305">
        <v>0.17210210799152567</v>
      </c>
      <c r="J60" s="305">
        <v>0.4426473097864761</v>
      </c>
      <c r="K60" s="305">
        <v>0.40994213396985801</v>
      </c>
      <c r="L60" s="305">
        <v>0.36608068561114698</v>
      </c>
      <c r="M60" s="305">
        <v>0.40994213396561402</v>
      </c>
      <c r="N60" s="305">
        <v>0.40715306583327376</v>
      </c>
      <c r="O60" s="305">
        <v>6.6834704460767584</v>
      </c>
      <c r="P60" s="305">
        <v>7.0253862982305293</v>
      </c>
      <c r="Q60" s="305">
        <v>7.0253867112720991</v>
      </c>
      <c r="R60" s="305">
        <v>7.0253858809980194</v>
      </c>
      <c r="S60" s="305">
        <v>6.9399073341443511</v>
      </c>
      <c r="T60" s="305">
        <v>7.8145742953486659</v>
      </c>
      <c r="U60" s="305">
        <v>8.3428403722419286</v>
      </c>
      <c r="V60" s="305">
        <v>8.3428405756803645</v>
      </c>
      <c r="W60" s="305">
        <v>8.3428374705596458</v>
      </c>
      <c r="X60" s="305">
        <v>8.2107731784576501</v>
      </c>
    </row>
    <row r="61" spans="1:24" x14ac:dyDescent="0.35">
      <c r="A61" s="24" t="s">
        <v>375</v>
      </c>
      <c r="B61" s="24" t="s">
        <v>103</v>
      </c>
      <c r="C61" s="24" t="s">
        <v>101</v>
      </c>
      <c r="D61" s="377">
        <v>20</v>
      </c>
      <c r="E61" s="305">
        <v>0.13869835577919856</v>
      </c>
      <c r="F61" s="305">
        <v>0.16383764268170581</v>
      </c>
      <c r="G61" s="305">
        <v>0.12746223143335705</v>
      </c>
      <c r="H61" s="305">
        <v>0.1638376395060821</v>
      </c>
      <c r="I61" s="305">
        <v>0.14845896735008601</v>
      </c>
      <c r="J61" s="305">
        <v>0.32880822178291602</v>
      </c>
      <c r="K61" s="305">
        <v>0.38280907339246001</v>
      </c>
      <c r="L61" s="305">
        <v>0.30248416865682198</v>
      </c>
      <c r="M61" s="305">
        <v>0.38280907215084797</v>
      </c>
      <c r="N61" s="305">
        <v>0.34922763399576201</v>
      </c>
      <c r="O61" s="305">
        <v>5.8331216660638594</v>
      </c>
      <c r="P61" s="305">
        <v>5.8327582323302796</v>
      </c>
      <c r="Q61" s="305">
        <v>5.8327594756459087</v>
      </c>
      <c r="R61" s="305">
        <v>5.8327590585686195</v>
      </c>
      <c r="S61" s="305">
        <v>5.832849608152169</v>
      </c>
      <c r="T61" s="305">
        <v>6.8790246444139065</v>
      </c>
      <c r="U61" s="305">
        <v>6.8786152302053969</v>
      </c>
      <c r="V61" s="305">
        <v>6.8786146631614784</v>
      </c>
      <c r="W61" s="305">
        <v>6.8786149266406094</v>
      </c>
      <c r="X61" s="305">
        <v>6.878717366105346</v>
      </c>
    </row>
    <row r="62" spans="1:24" x14ac:dyDescent="0.35">
      <c r="A62" s="24" t="s">
        <v>375</v>
      </c>
      <c r="B62" s="24" t="s">
        <v>103</v>
      </c>
      <c r="C62" s="24" t="s">
        <v>101</v>
      </c>
      <c r="D62" s="377">
        <v>25</v>
      </c>
      <c r="E62" s="305">
        <v>0.13362872539824569</v>
      </c>
      <c r="F62" s="305">
        <v>0.15453844373014744</v>
      </c>
      <c r="G62" s="305">
        <v>0.1231925695475207</v>
      </c>
      <c r="H62" s="305">
        <v>0.15453848305531787</v>
      </c>
      <c r="I62" s="305">
        <v>0.14147455543280801</v>
      </c>
      <c r="J62" s="305">
        <v>0.31424805095897002</v>
      </c>
      <c r="K62" s="305">
        <v>0.35981676170566301</v>
      </c>
      <c r="L62" s="305">
        <v>0.29015286682670099</v>
      </c>
      <c r="M62" s="305">
        <v>0.35981680267961202</v>
      </c>
      <c r="N62" s="305">
        <v>0.331008620542737</v>
      </c>
      <c r="O62" s="305">
        <v>4.9973502481977095</v>
      </c>
      <c r="P62" s="305">
        <v>4.9970367246617799</v>
      </c>
      <c r="Q62" s="305">
        <v>4.9970367162798794</v>
      </c>
      <c r="R62" s="305">
        <v>4.9970375623864403</v>
      </c>
      <c r="S62" s="305">
        <v>4.9971153128814496</v>
      </c>
      <c r="T62" s="305">
        <v>5.9971633716320643</v>
      </c>
      <c r="U62" s="305">
        <v>5.9968074716177746</v>
      </c>
      <c r="V62" s="305">
        <v>5.9968074482419755</v>
      </c>
      <c r="W62" s="305">
        <v>5.9968070243736822</v>
      </c>
      <c r="X62" s="305">
        <v>5.9968963289663693</v>
      </c>
    </row>
    <row r="63" spans="1:24" x14ac:dyDescent="0.35">
      <c r="A63" s="24" t="s">
        <v>375</v>
      </c>
      <c r="B63" s="24" t="s">
        <v>103</v>
      </c>
      <c r="C63" s="24" t="s">
        <v>101</v>
      </c>
      <c r="D63" s="377">
        <v>30</v>
      </c>
      <c r="E63" s="305">
        <v>0.12362299519928188</v>
      </c>
      <c r="F63" s="305">
        <v>0.13878311926731546</v>
      </c>
      <c r="G63" s="305">
        <v>0.1218092778454358</v>
      </c>
      <c r="H63" s="305">
        <v>0.13878313183557031</v>
      </c>
      <c r="I63" s="305">
        <v>0.13074963103690082</v>
      </c>
      <c r="J63" s="305">
        <v>0.28940336534045202</v>
      </c>
      <c r="K63" s="305">
        <v>0.32330509917809003</v>
      </c>
      <c r="L63" s="305">
        <v>0.28525909013599898</v>
      </c>
      <c r="M63" s="305">
        <v>0.32330514016878897</v>
      </c>
      <c r="N63" s="305">
        <v>0.30531817370583197</v>
      </c>
      <c r="O63" s="305">
        <v>4.6463573084523198</v>
      </c>
      <c r="P63" s="305">
        <v>4.6463296705235999</v>
      </c>
      <c r="Q63" s="305">
        <v>4.6463304969171588</v>
      </c>
      <c r="R63" s="305">
        <v>4.646331335573139</v>
      </c>
      <c r="S63" s="305">
        <v>4.646337202866559</v>
      </c>
      <c r="T63" s="305">
        <v>5.5109031726427959</v>
      </c>
      <c r="U63" s="305">
        <v>5.5108721944352954</v>
      </c>
      <c r="V63" s="305">
        <v>5.5108715559548989</v>
      </c>
      <c r="W63" s="305">
        <v>5.5108717618449345</v>
      </c>
      <c r="X63" s="305">
        <v>5.5108796712194836</v>
      </c>
    </row>
    <row r="64" spans="1:24" x14ac:dyDescent="0.35">
      <c r="A64" s="24" t="s">
        <v>375</v>
      </c>
      <c r="B64" s="24" t="s">
        <v>103</v>
      </c>
      <c r="C64" s="24" t="s">
        <v>101</v>
      </c>
      <c r="D64" s="377">
        <v>35</v>
      </c>
      <c r="E64" s="305">
        <v>0.12463923116718569</v>
      </c>
      <c r="F64" s="305">
        <v>0.134730833927072</v>
      </c>
      <c r="G64" s="305">
        <v>0.12463922838540671</v>
      </c>
      <c r="H64" s="305">
        <v>0.13253919387073032</v>
      </c>
      <c r="I64" s="305">
        <v>0.12913712183759865</v>
      </c>
      <c r="J64" s="305">
        <v>0.29319451703319499</v>
      </c>
      <c r="K64" s="305">
        <v>0.31527184189326302</v>
      </c>
      <c r="L64" s="305">
        <v>0.29319447606333898</v>
      </c>
      <c r="M64" s="305">
        <v>0.310857391913411</v>
      </c>
      <c r="N64" s="305">
        <v>0.303129556725802</v>
      </c>
      <c r="O64" s="305">
        <v>3.9102728384702101</v>
      </c>
      <c r="P64" s="305">
        <v>3.9102720081961397</v>
      </c>
      <c r="Q64" s="305">
        <v>3.9102724212377002</v>
      </c>
      <c r="R64" s="305">
        <v>3.9102724170467495</v>
      </c>
      <c r="S64" s="305">
        <v>3.9102724212377002</v>
      </c>
      <c r="T64" s="305">
        <v>4.5355007832047392</v>
      </c>
      <c r="U64" s="305">
        <v>4.5355007091773185</v>
      </c>
      <c r="V64" s="305">
        <v>4.535499796540722</v>
      </c>
      <c r="W64" s="305">
        <v>4.5355006857939326</v>
      </c>
      <c r="X64" s="305">
        <v>4.5355004936791774</v>
      </c>
    </row>
    <row r="65" spans="1:24" x14ac:dyDescent="0.35">
      <c r="A65" s="24" t="s">
        <v>375</v>
      </c>
      <c r="B65" s="24" t="s">
        <v>103</v>
      </c>
      <c r="C65" s="24" t="s">
        <v>101</v>
      </c>
      <c r="D65" s="377">
        <v>40</v>
      </c>
      <c r="E65" s="305">
        <v>0.12713289008106465</v>
      </c>
      <c r="F65" s="305">
        <v>0.13346409586729907</v>
      </c>
      <c r="G65" s="305">
        <v>0.12713286797089193</v>
      </c>
      <c r="H65" s="305">
        <v>0.12913538183431933</v>
      </c>
      <c r="I65" s="305">
        <v>0.12921630893839378</v>
      </c>
      <c r="J65" s="305">
        <v>0.30025738817062098</v>
      </c>
      <c r="K65" s="305">
        <v>0.313645034668525</v>
      </c>
      <c r="L65" s="305">
        <v>0.300257348421685</v>
      </c>
      <c r="M65" s="305">
        <v>0.30492585564578101</v>
      </c>
      <c r="N65" s="305">
        <v>0.30477140672665298</v>
      </c>
      <c r="O65" s="305">
        <v>3.5858280782122094</v>
      </c>
      <c r="P65" s="305">
        <v>3.5858293341006995</v>
      </c>
      <c r="Q65" s="305">
        <v>3.5858284954447295</v>
      </c>
      <c r="R65" s="305">
        <v>3.5858293299097497</v>
      </c>
      <c r="S65" s="305">
        <v>3.5858288094168493</v>
      </c>
      <c r="T65" s="305">
        <v>4.1382259833034825</v>
      </c>
      <c r="U65" s="305">
        <v>4.1382259835363033</v>
      </c>
      <c r="V65" s="305">
        <v>4.138225301013172</v>
      </c>
      <c r="W65" s="305">
        <v>4.1382256413813883</v>
      </c>
      <c r="X65" s="305">
        <v>4.1382257273085852</v>
      </c>
    </row>
    <row r="66" spans="1:24" x14ac:dyDescent="0.35">
      <c r="A66" s="24" t="s">
        <v>375</v>
      </c>
      <c r="B66" s="24" t="s">
        <v>103</v>
      </c>
      <c r="C66" s="24" t="s">
        <v>101</v>
      </c>
      <c r="D66" s="377">
        <v>45</v>
      </c>
      <c r="E66" s="305">
        <v>0.12907237501412119</v>
      </c>
      <c r="F66" s="305">
        <v>0.13247886492024069</v>
      </c>
      <c r="G66" s="305">
        <v>0.12907238635179882</v>
      </c>
      <c r="H66" s="305">
        <v>0.12757315015326184</v>
      </c>
      <c r="I66" s="305">
        <v>0.12954919410985569</v>
      </c>
      <c r="J66" s="305">
        <v>0.30575065483533997</v>
      </c>
      <c r="K66" s="305">
        <v>0.31237973492754101</v>
      </c>
      <c r="L66" s="305">
        <v>0.30575081998570802</v>
      </c>
      <c r="M66" s="305">
        <v>0.302132324567007</v>
      </c>
      <c r="N66" s="305">
        <v>0.306503383578899</v>
      </c>
      <c r="O66" s="305">
        <v>3.3347685508585201</v>
      </c>
      <c r="P66" s="305">
        <v>3.3347681336259996</v>
      </c>
      <c r="Q66" s="305">
        <v>3.3347689680910295</v>
      </c>
      <c r="R66" s="305">
        <v>3.3347677205068296</v>
      </c>
      <c r="S66" s="305">
        <v>3.3347683432705995</v>
      </c>
      <c r="T66" s="305">
        <v>3.8292607339642561</v>
      </c>
      <c r="U66" s="305">
        <v>3.8292604562862818</v>
      </c>
      <c r="V66" s="305">
        <v>3.8292601845478367</v>
      </c>
      <c r="W66" s="305">
        <v>3.8292604330018305</v>
      </c>
      <c r="X66" s="305">
        <v>3.8292604519500486</v>
      </c>
    </row>
    <row r="67" spans="1:24" x14ac:dyDescent="0.35">
      <c r="A67" s="24" t="s">
        <v>375</v>
      </c>
      <c r="B67" s="24" t="s">
        <v>103</v>
      </c>
      <c r="C67" s="24" t="s">
        <v>101</v>
      </c>
      <c r="D67" s="377">
        <v>50</v>
      </c>
      <c r="E67" s="305">
        <v>0.13069105962963054</v>
      </c>
      <c r="F67" s="305">
        <v>0.13203145313227213</v>
      </c>
      <c r="G67" s="305">
        <v>0.1287900688457726</v>
      </c>
      <c r="H67" s="305">
        <v>0.12816334168558763</v>
      </c>
      <c r="I67" s="305">
        <v>0.12991898082331574</v>
      </c>
      <c r="J67" s="305">
        <v>0.31030433589633799</v>
      </c>
      <c r="K67" s="305">
        <v>0.31224236573840802</v>
      </c>
      <c r="L67" s="305">
        <v>0.305915979543669</v>
      </c>
      <c r="M67" s="305">
        <v>0.30298324667751297</v>
      </c>
      <c r="N67" s="305">
        <v>0.307861481963982</v>
      </c>
      <c r="O67" s="305">
        <v>3.1443512492502697</v>
      </c>
      <c r="P67" s="305">
        <v>3.144331608278049</v>
      </c>
      <c r="Q67" s="305">
        <v>3.144331608278049</v>
      </c>
      <c r="R67" s="305">
        <v>3.144331608278049</v>
      </c>
      <c r="S67" s="305">
        <v>3.1443365185210994</v>
      </c>
      <c r="T67" s="305">
        <v>3.4673415707731485</v>
      </c>
      <c r="U67" s="305">
        <v>3.4673228449422564</v>
      </c>
      <c r="V67" s="305">
        <v>3.4673225916809507</v>
      </c>
      <c r="W67" s="305">
        <v>3.4673225765062967</v>
      </c>
      <c r="X67" s="305">
        <v>3.4673273959756612</v>
      </c>
    </row>
    <row r="68" spans="1:24" x14ac:dyDescent="0.35">
      <c r="A68" s="24" t="s">
        <v>375</v>
      </c>
      <c r="B68" s="24" t="s">
        <v>103</v>
      </c>
      <c r="C68" s="24" t="s">
        <v>101</v>
      </c>
      <c r="D68" s="377">
        <v>55</v>
      </c>
      <c r="E68" s="305">
        <v>0.12807119998736144</v>
      </c>
      <c r="F68" s="305">
        <v>0.13302513574508498</v>
      </c>
      <c r="G68" s="305">
        <v>0.12807120966658664</v>
      </c>
      <c r="H68" s="305">
        <v>0.12982453649567718</v>
      </c>
      <c r="I68" s="305">
        <v>0.12974802047367748</v>
      </c>
      <c r="J68" s="305">
        <v>0.30492616715029403</v>
      </c>
      <c r="K68" s="305">
        <v>0.315621558543701</v>
      </c>
      <c r="L68" s="305">
        <v>0.30492620813265597</v>
      </c>
      <c r="M68" s="305">
        <v>0.30730051788949198</v>
      </c>
      <c r="N68" s="305">
        <v>0.30819361292903502</v>
      </c>
      <c r="O68" s="305">
        <v>2.9885174947557895</v>
      </c>
      <c r="P68" s="305">
        <v>2.9885174947557895</v>
      </c>
      <c r="Q68" s="305">
        <v>2.9885179119883101</v>
      </c>
      <c r="R68" s="305">
        <v>2.9885170775232797</v>
      </c>
      <c r="S68" s="305">
        <v>2.9885174947557895</v>
      </c>
      <c r="T68" s="305">
        <v>3.1290422095896053</v>
      </c>
      <c r="U68" s="305">
        <v>3.1290421731686688</v>
      </c>
      <c r="V68" s="305">
        <v>3.1290418945779099</v>
      </c>
      <c r="W68" s="305">
        <v>3.1290418852978266</v>
      </c>
      <c r="X68" s="305">
        <v>3.1290420406585042</v>
      </c>
    </row>
    <row r="69" spans="1:24" x14ac:dyDescent="0.35">
      <c r="A69" s="24" t="s">
        <v>375</v>
      </c>
      <c r="B69" s="24" t="s">
        <v>103</v>
      </c>
      <c r="C69" s="24" t="s">
        <v>101</v>
      </c>
      <c r="D69" s="377">
        <v>60</v>
      </c>
      <c r="E69" s="305">
        <v>0.12222227049450478</v>
      </c>
      <c r="F69" s="305">
        <v>0.13048548290366266</v>
      </c>
      <c r="G69" s="305">
        <v>0.12900828789756205</v>
      </c>
      <c r="H69" s="305">
        <v>0.1311259606876615</v>
      </c>
      <c r="I69" s="305">
        <v>0.12561527919603338</v>
      </c>
      <c r="J69" s="305">
        <v>0.29221028541481497</v>
      </c>
      <c r="K69" s="305">
        <v>0.30959586134384481</v>
      </c>
      <c r="L69" s="305">
        <v>0.30794807545278902</v>
      </c>
      <c r="M69" s="305">
        <v>0.31038104749495693</v>
      </c>
      <c r="N69" s="305">
        <v>0.30503381742660141</v>
      </c>
      <c r="O69" s="305">
        <v>2.9506453458840598</v>
      </c>
      <c r="P69" s="305">
        <v>2.9570368368357283</v>
      </c>
      <c r="Q69" s="305">
        <v>2.95079846148534</v>
      </c>
      <c r="R69" s="305">
        <v>2.957039096032287</v>
      </c>
      <c r="S69" s="305">
        <v>2.9538799350593541</v>
      </c>
      <c r="T69" s="305">
        <v>3.0481617874845748</v>
      </c>
      <c r="U69" s="305">
        <v>3.0527390396673977</v>
      </c>
      <c r="V69" s="305">
        <v>3.0483102289722956</v>
      </c>
      <c r="W69" s="305">
        <v>3.0527393758575085</v>
      </c>
      <c r="X69" s="305">
        <v>3.0504876079954446</v>
      </c>
    </row>
    <row r="70" spans="1:24" x14ac:dyDescent="0.35">
      <c r="A70" s="24" t="s">
        <v>375</v>
      </c>
      <c r="B70" s="24" t="s">
        <v>103</v>
      </c>
      <c r="C70" s="24" t="s">
        <v>101</v>
      </c>
      <c r="D70" s="377">
        <v>65</v>
      </c>
      <c r="E70" s="305">
        <v>0.13529581903080518</v>
      </c>
      <c r="F70" s="305">
        <v>0.13096356670435666</v>
      </c>
      <c r="G70" s="305">
        <v>0.13529579713655485</v>
      </c>
      <c r="H70" s="305">
        <v>0.13431049775419454</v>
      </c>
      <c r="I70" s="305">
        <v>0.13529580808367994</v>
      </c>
      <c r="J70" s="305">
        <v>0.32440770842754302</v>
      </c>
      <c r="K70" s="305">
        <v>0.31073018496955945</v>
      </c>
      <c r="L70" s="305">
        <v>0.32440770844004801</v>
      </c>
      <c r="M70" s="305">
        <v>0.31791898998409857</v>
      </c>
      <c r="N70" s="305">
        <v>0.31936614795531226</v>
      </c>
      <c r="O70" s="305">
        <v>3.1358457263947099</v>
      </c>
      <c r="P70" s="305">
        <v>3.2624072202780172</v>
      </c>
      <c r="Q70" s="305">
        <v>3.1358448919296795</v>
      </c>
      <c r="R70" s="305">
        <v>3.2624077578842274</v>
      </c>
      <c r="S70" s="305">
        <v>3.1991263991216585</v>
      </c>
      <c r="T70" s="305">
        <v>3.2928191444232047</v>
      </c>
      <c r="U70" s="305">
        <v>3.1959675717874489</v>
      </c>
      <c r="V70" s="305">
        <v>3.2928179582343122</v>
      </c>
      <c r="W70" s="305">
        <v>3.1959686523956576</v>
      </c>
      <c r="X70" s="305">
        <v>3.2443933317101559</v>
      </c>
    </row>
    <row r="71" spans="1:24" x14ac:dyDescent="0.35">
      <c r="A71" s="24" t="s">
        <v>375</v>
      </c>
      <c r="B71" s="24" t="s">
        <v>103</v>
      </c>
      <c r="C71" s="24" t="s">
        <v>101</v>
      </c>
      <c r="D71" s="377">
        <v>70</v>
      </c>
      <c r="E71" s="305">
        <v>0.14608515800282068</v>
      </c>
      <c r="F71" s="305">
        <v>0.13957518359066026</v>
      </c>
      <c r="G71" s="305">
        <v>0.14608513457211855</v>
      </c>
      <c r="H71" s="305">
        <v>0.14314713500823287</v>
      </c>
      <c r="I71" s="305">
        <v>0.14608514628746969</v>
      </c>
      <c r="J71" s="305">
        <v>0.35101362812565601</v>
      </c>
      <c r="K71" s="305">
        <v>0.33116250347848314</v>
      </c>
      <c r="L71" s="305">
        <v>0.35101362687555498</v>
      </c>
      <c r="M71" s="305">
        <v>0.33883570787015072</v>
      </c>
      <c r="N71" s="305">
        <v>0.3430063665874612</v>
      </c>
      <c r="O71" s="305">
        <v>3.3113747049355795</v>
      </c>
      <c r="P71" s="305">
        <v>3.5515237852921655</v>
      </c>
      <c r="Q71" s="305">
        <v>3.3113759608240798</v>
      </c>
      <c r="R71" s="305">
        <v>3.5515260555696337</v>
      </c>
      <c r="S71" s="305">
        <v>3.4314501266553648</v>
      </c>
      <c r="T71" s="305">
        <v>3.5043191921662458</v>
      </c>
      <c r="U71" s="305">
        <v>3.3237631426118295</v>
      </c>
      <c r="V71" s="305">
        <v>3.5043173755069628</v>
      </c>
      <c r="W71" s="305">
        <v>3.3237652470773762</v>
      </c>
      <c r="X71" s="305">
        <v>3.4140412393406034</v>
      </c>
    </row>
    <row r="72" spans="1:24" x14ac:dyDescent="0.35">
      <c r="A72" s="24" t="s">
        <v>375</v>
      </c>
      <c r="B72" s="24" t="s">
        <v>103</v>
      </c>
      <c r="C72" s="24" t="s">
        <v>101</v>
      </c>
      <c r="D72" s="377">
        <v>75</v>
      </c>
      <c r="E72" s="305">
        <v>0.15850559294384264</v>
      </c>
      <c r="F72" s="305">
        <v>0.15122409174555848</v>
      </c>
      <c r="G72" s="305">
        <v>0.15553107353940521</v>
      </c>
      <c r="H72" s="305">
        <v>0.15509735298620189</v>
      </c>
      <c r="I72" s="305">
        <v>0.15508952780375204</v>
      </c>
      <c r="J72" s="305">
        <v>0.38085746709704971</v>
      </c>
      <c r="K72" s="305">
        <v>0.35880123901961386</v>
      </c>
      <c r="L72" s="305">
        <v>0.37371034619517579</v>
      </c>
      <c r="M72" s="305">
        <v>0.36712241139051699</v>
      </c>
      <c r="N72" s="305">
        <v>0.37012286592558907</v>
      </c>
      <c r="O72" s="305">
        <v>3.3447478063365894</v>
      </c>
      <c r="P72" s="305">
        <v>3.5876645254499504</v>
      </c>
      <c r="Q72" s="305">
        <v>3.3349394860473125</v>
      </c>
      <c r="R72" s="305">
        <v>3.5876629937040008</v>
      </c>
      <c r="S72" s="305">
        <v>3.4637537028844632</v>
      </c>
      <c r="T72" s="305">
        <v>3.4040916124384393</v>
      </c>
      <c r="U72" s="305">
        <v>3.228451691118956</v>
      </c>
      <c r="V72" s="305">
        <v>3.4122070058193295</v>
      </c>
      <c r="W72" s="305">
        <v>3.228457298888177</v>
      </c>
      <c r="X72" s="305">
        <v>3.3183019020662252</v>
      </c>
    </row>
    <row r="73" spans="1:24" x14ac:dyDescent="0.35">
      <c r="A73" s="24" t="s">
        <v>375</v>
      </c>
      <c r="B73" s="24" t="s">
        <v>103</v>
      </c>
      <c r="C73" s="24" t="s">
        <v>104</v>
      </c>
      <c r="D73" s="306" t="s">
        <v>376</v>
      </c>
      <c r="E73" s="307">
        <v>6.1752102509785717E-2</v>
      </c>
      <c r="F73" s="307">
        <v>8.4863585411762948E-2</v>
      </c>
      <c r="G73" s="307">
        <v>6.755539843826755E-2</v>
      </c>
      <c r="H73" s="307">
        <v>0.10716738357971903</v>
      </c>
      <c r="I73" s="307">
        <v>8.4787773979186035E-2</v>
      </c>
      <c r="J73" s="307">
        <v>0.10968514568958139</v>
      </c>
      <c r="K73" s="307">
        <v>0.1481799840461458</v>
      </c>
      <c r="L73" s="307">
        <v>0.11868681669972481</v>
      </c>
      <c r="M73" s="307">
        <v>0.18625041250779739</v>
      </c>
      <c r="N73" s="307">
        <v>0.147468539332961</v>
      </c>
      <c r="O73" s="307">
        <v>0.35239105559787703</v>
      </c>
      <c r="P73" s="307">
        <v>0.40788535617523075</v>
      </c>
      <c r="Q73" s="307">
        <v>0.34841610479248813</v>
      </c>
      <c r="R73" s="307">
        <v>0.48786308459505062</v>
      </c>
      <c r="S73" s="307">
        <v>0.41487493933768965</v>
      </c>
      <c r="T73" s="307">
        <v>0.18090227568340619</v>
      </c>
      <c r="U73" s="307">
        <v>0.22885857610175284</v>
      </c>
      <c r="V73" s="307">
        <v>0.19242366124298385</v>
      </c>
      <c r="W73" s="307">
        <v>0.28092256199444304</v>
      </c>
      <c r="X73" s="307">
        <v>0.23208014270423827</v>
      </c>
    </row>
    <row r="74" spans="1:24" x14ac:dyDescent="0.35">
      <c r="A74" s="24" t="s">
        <v>375</v>
      </c>
      <c r="B74" s="24" t="s">
        <v>103</v>
      </c>
      <c r="C74" s="24" t="s">
        <v>104</v>
      </c>
      <c r="D74" s="377">
        <v>2.5</v>
      </c>
      <c r="E74" s="305">
        <v>0.82836807991828154</v>
      </c>
      <c r="F74" s="305">
        <v>0.78792907472386342</v>
      </c>
      <c r="G74" s="305">
        <v>0.74945126821475117</v>
      </c>
      <c r="H74" s="305">
        <v>0.74945136147990032</v>
      </c>
      <c r="I74" s="305">
        <v>0.77879994608419911</v>
      </c>
      <c r="J74" s="305">
        <v>1.4152180579195195</v>
      </c>
      <c r="K74" s="305">
        <v>1.3239867358754605</v>
      </c>
      <c r="L74" s="305">
        <v>1.17823540335909</v>
      </c>
      <c r="M74" s="305">
        <v>1.1782351747582001</v>
      </c>
      <c r="N74" s="305">
        <v>1.2739188429780675</v>
      </c>
      <c r="O74" s="305">
        <v>4.221262228935255</v>
      </c>
      <c r="P74" s="305">
        <v>4.3322110048409179</v>
      </c>
      <c r="Q74" s="305">
        <v>3.198709158503136</v>
      </c>
      <c r="R74" s="305">
        <v>2.9636839829495343</v>
      </c>
      <c r="S74" s="305">
        <v>3.6789665938072109</v>
      </c>
      <c r="T74" s="305">
        <v>2.3567657663935626</v>
      </c>
      <c r="U74" s="305">
        <v>2.3034123703738065</v>
      </c>
      <c r="V74" s="305">
        <v>1.988494630104205</v>
      </c>
      <c r="W74" s="305">
        <v>1.9808564427059292</v>
      </c>
      <c r="X74" s="305">
        <v>2.1573823023943759</v>
      </c>
    </row>
    <row r="75" spans="1:24" x14ac:dyDescent="0.35">
      <c r="A75" s="24" t="s">
        <v>375</v>
      </c>
      <c r="B75" s="24" t="s">
        <v>103</v>
      </c>
      <c r="C75" s="24" t="s">
        <v>104</v>
      </c>
      <c r="D75" s="377">
        <v>5</v>
      </c>
      <c r="E75" s="305">
        <v>0.43841146124848418</v>
      </c>
      <c r="F75" s="305">
        <v>0.41738750850843187</v>
      </c>
      <c r="G75" s="305">
        <v>0.40260724644468532</v>
      </c>
      <c r="H75" s="305">
        <v>0.40206700873231299</v>
      </c>
      <c r="I75" s="305">
        <v>0.41511830623347862</v>
      </c>
      <c r="J75" s="305">
        <v>0.74900015077711057</v>
      </c>
      <c r="K75" s="305">
        <v>0.70135186365465541</v>
      </c>
      <c r="L75" s="305">
        <v>0.64419630498741698</v>
      </c>
      <c r="M75" s="305">
        <v>0.64316985438926999</v>
      </c>
      <c r="N75" s="305">
        <v>0.68442954345211326</v>
      </c>
      <c r="O75" s="305">
        <v>2.1254832019119489</v>
      </c>
      <c r="P75" s="305">
        <v>2.1698785840209287</v>
      </c>
      <c r="Q75" s="305">
        <v>1.8176635081592618</v>
      </c>
      <c r="R75" s="305">
        <v>1.6142289693846161</v>
      </c>
      <c r="S75" s="305">
        <v>1.9318135658691888</v>
      </c>
      <c r="T75" s="305">
        <v>1.1830006631849932</v>
      </c>
      <c r="U75" s="305">
        <v>1.1584275406613687</v>
      </c>
      <c r="V75" s="305">
        <v>1.0964704082398338</v>
      </c>
      <c r="W75" s="305">
        <v>1.0924611846895926</v>
      </c>
      <c r="X75" s="305">
        <v>1.1325899491939471</v>
      </c>
    </row>
    <row r="76" spans="1:24" x14ac:dyDescent="0.35">
      <c r="A76" s="24" t="s">
        <v>375</v>
      </c>
      <c r="B76" s="24" t="s">
        <v>103</v>
      </c>
      <c r="C76" s="24" t="s">
        <v>104</v>
      </c>
      <c r="D76" s="377">
        <v>10</v>
      </c>
      <c r="E76" s="305">
        <v>0.24324218669630443</v>
      </c>
      <c r="F76" s="305">
        <v>0.23216971420731125</v>
      </c>
      <c r="G76" s="305">
        <v>0.22824171285080652</v>
      </c>
      <c r="H76" s="305">
        <v>0.2283748783961625</v>
      </c>
      <c r="I76" s="305">
        <v>0.2330071230376462</v>
      </c>
      <c r="J76" s="305">
        <v>0.41556494438366148</v>
      </c>
      <c r="K76" s="305">
        <v>0.39012346662065234</v>
      </c>
      <c r="L76" s="305">
        <v>0.37611942190172398</v>
      </c>
      <c r="M76" s="305">
        <v>0.37563747322322599</v>
      </c>
      <c r="N76" s="305">
        <v>0.38936132653231598</v>
      </c>
      <c r="O76" s="305">
        <v>1.1483671337367307</v>
      </c>
      <c r="P76" s="305">
        <v>1.1085180411251474</v>
      </c>
      <c r="Q76" s="305">
        <v>1.0458173544202867</v>
      </c>
      <c r="R76" s="305">
        <v>0.99614726138908893</v>
      </c>
      <c r="S76" s="305">
        <v>1.0747124476678134</v>
      </c>
      <c r="T76" s="305">
        <v>0.63180942669228035</v>
      </c>
      <c r="U76" s="305">
        <v>0.62097688140548446</v>
      </c>
      <c r="V76" s="305">
        <v>0.60998416288608892</v>
      </c>
      <c r="W76" s="305">
        <v>0.60953191840177245</v>
      </c>
      <c r="X76" s="305">
        <v>0.61807559734640649</v>
      </c>
    </row>
    <row r="77" spans="1:24" x14ac:dyDescent="0.35">
      <c r="A77" s="24" t="s">
        <v>375</v>
      </c>
      <c r="B77" s="24" t="s">
        <v>103</v>
      </c>
      <c r="C77" s="24" t="s">
        <v>104</v>
      </c>
      <c r="D77" s="377">
        <v>15</v>
      </c>
      <c r="E77" s="305">
        <v>0.17832538421605762</v>
      </c>
      <c r="F77" s="305">
        <v>0.17047747862874316</v>
      </c>
      <c r="G77" s="305">
        <v>0.1682936549392911</v>
      </c>
      <c r="H77" s="305">
        <v>0.17047752073935177</v>
      </c>
      <c r="I77" s="305">
        <v>0.17189350963086089</v>
      </c>
      <c r="J77" s="305">
        <v>0.30465841217939904</v>
      </c>
      <c r="K77" s="305">
        <v>0.28645969251616998</v>
      </c>
      <c r="L77" s="305">
        <v>0.28471246496095098</v>
      </c>
      <c r="M77" s="305">
        <v>0.28645975878074098</v>
      </c>
      <c r="N77" s="305">
        <v>0.29057258210931525</v>
      </c>
      <c r="O77" s="305">
        <v>0.83069440357654589</v>
      </c>
      <c r="P77" s="305">
        <v>0.75963813198008256</v>
      </c>
      <c r="Q77" s="305">
        <v>0.78938178800581338</v>
      </c>
      <c r="R77" s="305">
        <v>0.75963805415465002</v>
      </c>
      <c r="S77" s="305">
        <v>0.78483809442927288</v>
      </c>
      <c r="T77" s="305">
        <v>0.45463961757893012</v>
      </c>
      <c r="U77" s="305">
        <v>0.4470652662194704</v>
      </c>
      <c r="V77" s="305">
        <v>0.44706532178340946</v>
      </c>
      <c r="W77" s="305">
        <v>0.4470653244352788</v>
      </c>
      <c r="X77" s="305">
        <v>0.44895888250427218</v>
      </c>
    </row>
    <row r="78" spans="1:24" x14ac:dyDescent="0.35">
      <c r="A78" s="24" t="s">
        <v>375</v>
      </c>
      <c r="B78" s="24" t="s">
        <v>103</v>
      </c>
      <c r="C78" s="24" t="s">
        <v>104</v>
      </c>
      <c r="D78" s="377">
        <v>20</v>
      </c>
      <c r="E78" s="305">
        <v>0.1380019181795952</v>
      </c>
      <c r="F78" s="305">
        <v>0.14046585096565087</v>
      </c>
      <c r="G78" s="305">
        <v>0.13073971402361134</v>
      </c>
      <c r="H78" s="305">
        <v>0.14046584800627909</v>
      </c>
      <c r="I78" s="305">
        <v>0.13741833279378435</v>
      </c>
      <c r="J78" s="305">
        <v>0.23576814627449399</v>
      </c>
      <c r="K78" s="305">
        <v>0.23997045749759599</v>
      </c>
      <c r="L78" s="305">
        <v>0.22198341908612401</v>
      </c>
      <c r="M78" s="305">
        <v>0.23997051383290999</v>
      </c>
      <c r="N78" s="305">
        <v>0.23442313417278099</v>
      </c>
      <c r="O78" s="305">
        <v>0.66226943196051069</v>
      </c>
      <c r="P78" s="305">
        <v>0.62132071113437359</v>
      </c>
      <c r="Q78" s="305">
        <v>0.63870759264771526</v>
      </c>
      <c r="R78" s="305">
        <v>0.62132063013130401</v>
      </c>
      <c r="S78" s="305">
        <v>0.63590459146847611</v>
      </c>
      <c r="T78" s="305">
        <v>0.35977842730263049</v>
      </c>
      <c r="U78" s="305">
        <v>0.35547969734569623</v>
      </c>
      <c r="V78" s="305">
        <v>0.35547961252642812</v>
      </c>
      <c r="W78" s="305">
        <v>0.35547966648007279</v>
      </c>
      <c r="X78" s="305">
        <v>0.35655435091370713</v>
      </c>
    </row>
    <row r="79" spans="1:24" x14ac:dyDescent="0.35">
      <c r="A79" s="24" t="s">
        <v>375</v>
      </c>
      <c r="B79" s="24" t="s">
        <v>103</v>
      </c>
      <c r="C79" s="24" t="s">
        <v>104</v>
      </c>
      <c r="D79" s="377">
        <v>25</v>
      </c>
      <c r="E79" s="305">
        <v>0.11696291151811054</v>
      </c>
      <c r="F79" s="305">
        <v>0.12031871721167328</v>
      </c>
      <c r="G79" s="305">
        <v>0.1105926143054089</v>
      </c>
      <c r="H79" s="305">
        <v>0.12031871445552073</v>
      </c>
      <c r="I79" s="305">
        <v>0.11704823937267847</v>
      </c>
      <c r="J79" s="305">
        <v>0.20100594529018601</v>
      </c>
      <c r="K79" s="305">
        <v>0.20825015429970001</v>
      </c>
      <c r="L79" s="305">
        <v>0.18889316470206999</v>
      </c>
      <c r="M79" s="305">
        <v>0.208250250332639</v>
      </c>
      <c r="N79" s="305">
        <v>0.20159987865614901</v>
      </c>
      <c r="O79" s="305">
        <v>0.55654743323929501</v>
      </c>
      <c r="P79" s="305">
        <v>0.53285596204409935</v>
      </c>
      <c r="Q79" s="305">
        <v>0.53529678358413868</v>
      </c>
      <c r="R79" s="305">
        <v>0.5328559339884652</v>
      </c>
      <c r="S79" s="305">
        <v>0.53938902821399959</v>
      </c>
      <c r="T79" s="305">
        <v>0.30759904299887253</v>
      </c>
      <c r="U79" s="305">
        <v>0.30387655560443344</v>
      </c>
      <c r="V79" s="305">
        <v>0.30387655951262127</v>
      </c>
      <c r="W79" s="305">
        <v>0.30387655264918495</v>
      </c>
      <c r="X79" s="305">
        <v>0.30480717769127802</v>
      </c>
    </row>
    <row r="80" spans="1:24" x14ac:dyDescent="0.35">
      <c r="A80" s="24" t="s">
        <v>375</v>
      </c>
      <c r="B80" s="24" t="s">
        <v>103</v>
      </c>
      <c r="C80" s="24" t="s">
        <v>104</v>
      </c>
      <c r="D80" s="377">
        <v>30</v>
      </c>
      <c r="E80" s="305">
        <v>9.8379179198469974E-2</v>
      </c>
      <c r="F80" s="305">
        <v>0.10387954846328874</v>
      </c>
      <c r="G80" s="305">
        <v>9.755102333582176E-2</v>
      </c>
      <c r="H80" s="305">
        <v>0.1038795508607686</v>
      </c>
      <c r="I80" s="305">
        <v>0.1009223254645872</v>
      </c>
      <c r="J80" s="305">
        <v>0.16917872984292101</v>
      </c>
      <c r="K80" s="305">
        <v>0.18075038251845399</v>
      </c>
      <c r="L80" s="305">
        <v>0.16761641197808699</v>
      </c>
      <c r="M80" s="305">
        <v>0.18075045305158699</v>
      </c>
      <c r="N80" s="305">
        <v>0.174573994347762</v>
      </c>
      <c r="O80" s="305">
        <v>0.4898815282137659</v>
      </c>
      <c r="P80" s="305">
        <v>0.47661491212687374</v>
      </c>
      <c r="Q80" s="305">
        <v>0.48775579598626723</v>
      </c>
      <c r="R80" s="305">
        <v>0.47661487224669696</v>
      </c>
      <c r="S80" s="305">
        <v>0.48271677714340089</v>
      </c>
      <c r="T80" s="305">
        <v>0.27554699027175128</v>
      </c>
      <c r="U80" s="305">
        <v>0.27518407282899582</v>
      </c>
      <c r="V80" s="305">
        <v>0.27518408449475512</v>
      </c>
      <c r="W80" s="305">
        <v>0.27518406433075759</v>
      </c>
      <c r="X80" s="305">
        <v>0.27527480298156504</v>
      </c>
    </row>
    <row r="81" spans="1:24" x14ac:dyDescent="0.35">
      <c r="A81" s="24" t="s">
        <v>375</v>
      </c>
      <c r="B81" s="24" t="s">
        <v>103</v>
      </c>
      <c r="C81" s="24" t="s">
        <v>104</v>
      </c>
      <c r="D81" s="377">
        <v>35</v>
      </c>
      <c r="E81" s="305">
        <v>8.7749313449495311E-2</v>
      </c>
      <c r="F81" s="305">
        <v>9.1987631028658368E-2</v>
      </c>
      <c r="G81" s="305">
        <v>8.7749291579051189E-2</v>
      </c>
      <c r="H81" s="305">
        <v>9.1509160283491708E-2</v>
      </c>
      <c r="I81" s="305">
        <v>8.9748849085174276E-2</v>
      </c>
      <c r="J81" s="305">
        <v>0.1516136221544</v>
      </c>
      <c r="K81" s="305">
        <v>0.16042093093468099</v>
      </c>
      <c r="L81" s="305">
        <v>0.15161363135363501</v>
      </c>
      <c r="M81" s="305">
        <v>0.15957739198105</v>
      </c>
      <c r="N81" s="305">
        <v>0.15580639410594199</v>
      </c>
      <c r="O81" s="305">
        <v>0.43553160128074553</v>
      </c>
      <c r="P81" s="305">
        <v>0.4330894739632466</v>
      </c>
      <c r="Q81" s="305">
        <v>0.43553160788130851</v>
      </c>
      <c r="R81" s="305">
        <v>0.4330894881352032</v>
      </c>
      <c r="S81" s="305">
        <v>0.43431054281512582</v>
      </c>
      <c r="T81" s="305">
        <v>0.2417449684900945</v>
      </c>
      <c r="U81" s="305">
        <v>0.24174495111375141</v>
      </c>
      <c r="V81" s="305">
        <v>0.24174477228291466</v>
      </c>
      <c r="W81" s="305">
        <v>0.24174481222778238</v>
      </c>
      <c r="X81" s="305">
        <v>0.24174487602863598</v>
      </c>
    </row>
    <row r="82" spans="1:24" x14ac:dyDescent="0.35">
      <c r="A82" s="24" t="s">
        <v>375</v>
      </c>
      <c r="B82" s="24" t="s">
        <v>103</v>
      </c>
      <c r="C82" s="24" t="s">
        <v>104</v>
      </c>
      <c r="D82" s="377">
        <v>40</v>
      </c>
      <c r="E82" s="305">
        <v>8.0350713303677462E-2</v>
      </c>
      <c r="F82" s="305">
        <v>8.3082574007539087E-2</v>
      </c>
      <c r="G82" s="305">
        <v>8.0350711069450617E-2</v>
      </c>
      <c r="H82" s="305">
        <v>8.2137563920108361E-2</v>
      </c>
      <c r="I82" s="305">
        <v>8.1480390575193865E-2</v>
      </c>
      <c r="J82" s="305">
        <v>0.13953323192981701</v>
      </c>
      <c r="K82" s="305">
        <v>0.14511974732401201</v>
      </c>
      <c r="L82" s="305">
        <v>0.13953326626021101</v>
      </c>
      <c r="M82" s="305">
        <v>0.14345363242318801</v>
      </c>
      <c r="N82" s="305">
        <v>0.14190996948430701</v>
      </c>
      <c r="O82" s="305">
        <v>0.40225142709246769</v>
      </c>
      <c r="P82" s="305">
        <v>0.4015843267282268</v>
      </c>
      <c r="Q82" s="305">
        <v>0.40225145632706938</v>
      </c>
      <c r="R82" s="305">
        <v>0.4015842712631647</v>
      </c>
      <c r="S82" s="305">
        <v>0.40191787035273219</v>
      </c>
      <c r="T82" s="305">
        <v>0.22563698781226876</v>
      </c>
      <c r="U82" s="305">
        <v>0.22563698234875321</v>
      </c>
      <c r="V82" s="305">
        <v>0.22563699066917425</v>
      </c>
      <c r="W82" s="305">
        <v>0.22563698778836239</v>
      </c>
      <c r="X82" s="305">
        <v>0.22563698715463978</v>
      </c>
    </row>
    <row r="83" spans="1:24" x14ac:dyDescent="0.35">
      <c r="A83" s="24" t="s">
        <v>375</v>
      </c>
      <c r="B83" s="24" t="s">
        <v>103</v>
      </c>
      <c r="C83" s="24" t="s">
        <v>104</v>
      </c>
      <c r="D83" s="377">
        <v>45</v>
      </c>
      <c r="E83" s="305">
        <v>7.4596281026271832E-2</v>
      </c>
      <c r="F83" s="305">
        <v>7.6156408818979504E-2</v>
      </c>
      <c r="G83" s="305">
        <v>7.4596263644048325E-2</v>
      </c>
      <c r="H83" s="305">
        <v>7.5205590505448935E-2</v>
      </c>
      <c r="I83" s="305">
        <v>7.5138635998687114E-2</v>
      </c>
      <c r="J83" s="305">
        <v>0.130137390719028</v>
      </c>
      <c r="K83" s="305">
        <v>0.13321878245430199</v>
      </c>
      <c r="L83" s="305">
        <v>0.13013741879452301</v>
      </c>
      <c r="M83" s="305">
        <v>0.131497893344203</v>
      </c>
      <c r="N83" s="305">
        <v>0.13124787132801399</v>
      </c>
      <c r="O83" s="305">
        <v>0.37657183886742635</v>
      </c>
      <c r="P83" s="305">
        <v>0.37712798578589835</v>
      </c>
      <c r="Q83" s="305">
        <v>0.37657185641332402</v>
      </c>
      <c r="R83" s="305">
        <v>0.37712809645924583</v>
      </c>
      <c r="S83" s="305">
        <v>0.37684994438147384</v>
      </c>
      <c r="T83" s="305">
        <v>0.21312466026329777</v>
      </c>
      <c r="U83" s="305">
        <v>0.21312465564813765</v>
      </c>
      <c r="V83" s="305">
        <v>0.21312466000364089</v>
      </c>
      <c r="W83" s="305">
        <v>0.21312465919631837</v>
      </c>
      <c r="X83" s="305">
        <v>0.2131246587778485</v>
      </c>
    </row>
    <row r="84" spans="1:24" x14ac:dyDescent="0.35">
      <c r="A84" s="24" t="s">
        <v>375</v>
      </c>
      <c r="B84" s="24" t="s">
        <v>103</v>
      </c>
      <c r="C84" s="24" t="s">
        <v>104</v>
      </c>
      <c r="D84" s="377">
        <v>50</v>
      </c>
      <c r="E84" s="305">
        <v>7.0548852031891554E-2</v>
      </c>
      <c r="F84" s="305">
        <v>7.0781559637461466E-2</v>
      </c>
      <c r="G84" s="305">
        <v>6.988524796573363E-2</v>
      </c>
      <c r="H84" s="305">
        <v>7.0265414389034012E-2</v>
      </c>
      <c r="I84" s="305">
        <v>7.0370268506030093E-2</v>
      </c>
      <c r="J84" s="305">
        <v>0.123745005674815</v>
      </c>
      <c r="K84" s="305">
        <v>0.124026234008245</v>
      </c>
      <c r="L84" s="305">
        <v>0.122472968769822</v>
      </c>
      <c r="M84" s="305">
        <v>0.1229251567626</v>
      </c>
      <c r="N84" s="305">
        <v>0.12329234130387</v>
      </c>
      <c r="O84" s="305">
        <v>0.35960887724914736</v>
      </c>
      <c r="P84" s="305">
        <v>0.35794673781206315</v>
      </c>
      <c r="Q84" s="305">
        <v>0.35768697960941953</v>
      </c>
      <c r="R84" s="305">
        <v>0.35794677806433317</v>
      </c>
      <c r="S84" s="305">
        <v>0.35829734318374062</v>
      </c>
      <c r="T84" s="305">
        <v>0.20023568456580329</v>
      </c>
      <c r="U84" s="305">
        <v>0.19992077962031368</v>
      </c>
      <c r="V84" s="305">
        <v>0.19992078017057943</v>
      </c>
      <c r="W84" s="305">
        <v>0.19992078538117822</v>
      </c>
      <c r="X84" s="305">
        <v>0.19999950743446912</v>
      </c>
    </row>
    <row r="85" spans="1:24" x14ac:dyDescent="0.35">
      <c r="A85" s="24" t="s">
        <v>375</v>
      </c>
      <c r="B85" s="24" t="s">
        <v>103</v>
      </c>
      <c r="C85" s="24" t="s">
        <v>104</v>
      </c>
      <c r="D85" s="377">
        <v>55</v>
      </c>
      <c r="E85" s="305">
        <v>6.6002176746247504E-2</v>
      </c>
      <c r="F85" s="305">
        <v>6.7046563931239131E-2</v>
      </c>
      <c r="G85" s="305">
        <v>6.6002165419956821E-2</v>
      </c>
      <c r="H85" s="305">
        <v>6.6511575780676388E-2</v>
      </c>
      <c r="I85" s="305">
        <v>6.6390620469529885E-2</v>
      </c>
      <c r="J85" s="305">
        <v>0.11616270569841899</v>
      </c>
      <c r="K85" s="305">
        <v>0.11781466701359</v>
      </c>
      <c r="L85" s="305">
        <v>0.11616271531966001</v>
      </c>
      <c r="M85" s="305">
        <v>0.116606679139901</v>
      </c>
      <c r="N85" s="305">
        <v>0.116686691792892</v>
      </c>
      <c r="O85" s="305">
        <v>0.34223547101760177</v>
      </c>
      <c r="P85" s="305">
        <v>0.34225285010141565</v>
      </c>
      <c r="Q85" s="305">
        <v>0.34223552158120057</v>
      </c>
      <c r="R85" s="305">
        <v>0.34225288600080328</v>
      </c>
      <c r="S85" s="305">
        <v>0.34224418217525532</v>
      </c>
      <c r="T85" s="305">
        <v>0.18742558315950425</v>
      </c>
      <c r="U85" s="305">
        <v>0.18742557829604473</v>
      </c>
      <c r="V85" s="305">
        <v>0.18742558195792014</v>
      </c>
      <c r="W85" s="305">
        <v>0.18742558102904752</v>
      </c>
      <c r="X85" s="305">
        <v>0.1874255811106291</v>
      </c>
    </row>
    <row r="86" spans="1:24" x14ac:dyDescent="0.35">
      <c r="A86" s="24" t="s">
        <v>375</v>
      </c>
      <c r="B86" s="24" t="s">
        <v>103</v>
      </c>
      <c r="C86" s="24" t="s">
        <v>104</v>
      </c>
      <c r="D86" s="377">
        <v>60</v>
      </c>
      <c r="E86" s="305">
        <v>5.9743140904045144E-2</v>
      </c>
      <c r="F86" s="305">
        <v>6.4193184747560722E-2</v>
      </c>
      <c r="G86" s="305">
        <v>6.2985486611405891E-2</v>
      </c>
      <c r="H86" s="305">
        <v>6.4021517501000685E-2</v>
      </c>
      <c r="I86" s="305">
        <v>6.2735832441003114E-2</v>
      </c>
      <c r="J86" s="305">
        <v>0.104918701347439</v>
      </c>
      <c r="K86" s="305">
        <v>0.11280069017902254</v>
      </c>
      <c r="L86" s="305">
        <v>0.111273093286096</v>
      </c>
      <c r="M86" s="305">
        <v>0.11224116195812112</v>
      </c>
      <c r="N86" s="305">
        <v>0.11030841169266965</v>
      </c>
      <c r="O86" s="305">
        <v>0.31563157543515613</v>
      </c>
      <c r="P86" s="305">
        <v>0.32428445399168815</v>
      </c>
      <c r="Q86" s="305">
        <v>0.33122656213048673</v>
      </c>
      <c r="R86" s="305">
        <v>0.32428460884418586</v>
      </c>
      <c r="S86" s="305">
        <v>0.32385680010037921</v>
      </c>
      <c r="T86" s="305">
        <v>0.17736201842654109</v>
      </c>
      <c r="U86" s="305">
        <v>0.17441394037923941</v>
      </c>
      <c r="V86" s="305">
        <v>0.17980441949752149</v>
      </c>
      <c r="W86" s="305">
        <v>0.1744144893732418</v>
      </c>
      <c r="X86" s="305">
        <v>0.17649871691913593</v>
      </c>
    </row>
    <row r="87" spans="1:24" x14ac:dyDescent="0.35">
      <c r="A87" s="24" t="s">
        <v>375</v>
      </c>
      <c r="B87" s="24" t="s">
        <v>103</v>
      </c>
      <c r="C87" s="24" t="s">
        <v>104</v>
      </c>
      <c r="D87" s="377">
        <v>65</v>
      </c>
      <c r="E87" s="305">
        <v>6.1416096425776071E-2</v>
      </c>
      <c r="F87" s="305">
        <v>6.287306216983804E-2</v>
      </c>
      <c r="G87" s="305">
        <v>6.1416096017912467E-2</v>
      </c>
      <c r="H87" s="305">
        <v>6.2928198036016778E-2</v>
      </c>
      <c r="I87" s="305">
        <v>6.2158363162385835E-2</v>
      </c>
      <c r="J87" s="305">
        <v>0.10888241912956099</v>
      </c>
      <c r="K87" s="305">
        <v>0.11048096202604772</v>
      </c>
      <c r="L87" s="305">
        <v>0.108882423459969</v>
      </c>
      <c r="M87" s="305">
        <v>0.11032437754045549</v>
      </c>
      <c r="N87" s="305">
        <v>0.1096425455390083</v>
      </c>
      <c r="O87" s="305">
        <v>0.3464019097621967</v>
      </c>
      <c r="P87" s="305">
        <v>0.30996204904721431</v>
      </c>
      <c r="Q87" s="305">
        <v>0.34640190664797643</v>
      </c>
      <c r="R87" s="305">
        <v>0.30996467277600009</v>
      </c>
      <c r="S87" s="305">
        <v>0.3281826345583469</v>
      </c>
      <c r="T87" s="305">
        <v>0.18057964059679824</v>
      </c>
      <c r="U87" s="305">
        <v>0.16671005001930864</v>
      </c>
      <c r="V87" s="305">
        <v>0.18057961031012729</v>
      </c>
      <c r="W87" s="305">
        <v>0.16671197310845789</v>
      </c>
      <c r="X87" s="305">
        <v>0.17364531850867301</v>
      </c>
    </row>
    <row r="88" spans="1:24" x14ac:dyDescent="0.35">
      <c r="A88" s="24" t="s">
        <v>375</v>
      </c>
      <c r="B88" s="24" t="s">
        <v>103</v>
      </c>
      <c r="C88" s="24" t="s">
        <v>104</v>
      </c>
      <c r="D88" s="377">
        <v>70</v>
      </c>
      <c r="E88" s="305">
        <v>6.2256111635800186E-2</v>
      </c>
      <c r="F88" s="305">
        <v>6.450313758048562E-2</v>
      </c>
      <c r="G88" s="305">
        <v>6.2256105856268062E-2</v>
      </c>
      <c r="H88" s="305">
        <v>6.456214739349396E-2</v>
      </c>
      <c r="I88" s="305">
        <v>6.3394375616511955E-2</v>
      </c>
      <c r="J88" s="305">
        <v>0.110889235529612</v>
      </c>
      <c r="K88" s="305">
        <v>0.1133453413536661</v>
      </c>
      <c r="L88" s="305">
        <v>0.11088925052051</v>
      </c>
      <c r="M88" s="305">
        <v>0.11318898277979707</v>
      </c>
      <c r="N88" s="305">
        <v>0.11207820254589629</v>
      </c>
      <c r="O88" s="305">
        <v>0.36137477435139753</v>
      </c>
      <c r="P88" s="305">
        <v>0.29793492304203489</v>
      </c>
      <c r="Q88" s="305">
        <v>0.36137479279223128</v>
      </c>
      <c r="R88" s="305">
        <v>0.2979399964528236</v>
      </c>
      <c r="S88" s="305">
        <v>0.32965612165962183</v>
      </c>
      <c r="T88" s="305">
        <v>0.18138622831331816</v>
      </c>
      <c r="U88" s="305">
        <v>0.1603252293110263</v>
      </c>
      <c r="V88" s="305">
        <v>0.181386228270279</v>
      </c>
      <c r="W88" s="305">
        <v>0.16032855185239023</v>
      </c>
      <c r="X88" s="305">
        <v>0.17085655943675343</v>
      </c>
    </row>
    <row r="89" spans="1:24" x14ac:dyDescent="0.35">
      <c r="A89" s="24" t="s">
        <v>375</v>
      </c>
      <c r="B89" s="24" t="s">
        <v>103</v>
      </c>
      <c r="C89" s="24" t="s">
        <v>104</v>
      </c>
      <c r="D89" s="377">
        <v>75</v>
      </c>
      <c r="E89" s="305">
        <v>6.690711638758301E-2</v>
      </c>
      <c r="F89" s="305">
        <v>6.892365024722541E-2</v>
      </c>
      <c r="G89" s="305">
        <v>6.529698955490669E-2</v>
      </c>
      <c r="H89" s="305">
        <v>6.8989047099972056E-2</v>
      </c>
      <c r="I89" s="305">
        <v>6.7529200822421795E-2</v>
      </c>
      <c r="J89" s="305">
        <v>0.11917350429967137</v>
      </c>
      <c r="K89" s="305">
        <v>0.12111309554305934</v>
      </c>
      <c r="L89" s="305">
        <v>0.11630560783396895</v>
      </c>
      <c r="M89" s="305">
        <v>0.12095012913062202</v>
      </c>
      <c r="N89" s="305">
        <v>0.11938558420183042</v>
      </c>
      <c r="O89" s="305">
        <v>0.34372395140365697</v>
      </c>
      <c r="P89" s="305">
        <v>0.28335836382951063</v>
      </c>
      <c r="Q89" s="305">
        <v>0.34471023308181709</v>
      </c>
      <c r="R89" s="305">
        <v>0.28336412679047451</v>
      </c>
      <c r="S89" s="305">
        <v>0.31378916877636481</v>
      </c>
      <c r="T89" s="305">
        <v>0.17167002417711927</v>
      </c>
      <c r="U89" s="305">
        <v>0.15174137895650644</v>
      </c>
      <c r="V89" s="305">
        <v>0.17155002258948965</v>
      </c>
      <c r="W89" s="305">
        <v>0.15174498673715303</v>
      </c>
      <c r="X89" s="305">
        <v>0.1616766031150671</v>
      </c>
    </row>
    <row r="90" spans="1:24" x14ac:dyDescent="0.35">
      <c r="A90" s="24" t="s">
        <v>375</v>
      </c>
      <c r="B90" s="24" t="s">
        <v>99</v>
      </c>
      <c r="C90" s="24" t="s">
        <v>377</v>
      </c>
      <c r="D90" s="306" t="s">
        <v>376</v>
      </c>
      <c r="E90" s="306">
        <v>1.8610980057783021E-3</v>
      </c>
      <c r="F90" s="306">
        <v>1.9782892237264265E-3</v>
      </c>
      <c r="G90" s="306">
        <v>1.8420384250854161E-3</v>
      </c>
      <c r="H90" s="306">
        <v>2.1943998177248653E-3</v>
      </c>
      <c r="I90" s="306">
        <v>1.9839139389332865E-3</v>
      </c>
      <c r="J90" s="306">
        <v>2.4336199741810519E-3</v>
      </c>
      <c r="K90" s="306">
        <v>2.5132999289780799E-3</v>
      </c>
      <c r="L90" s="306">
        <v>2.3711539339274141E-3</v>
      </c>
      <c r="M90" s="306">
        <v>2.7585260570049262E-3</v>
      </c>
      <c r="N90" s="306">
        <v>2.5151521753286879E-3</v>
      </c>
      <c r="O90" s="306">
        <v>5.4513870733533479E-3</v>
      </c>
      <c r="P90" s="306">
        <v>5.5200791342654596E-3</v>
      </c>
      <c r="Q90" s="306">
        <v>5.0535041148619753E-3</v>
      </c>
      <c r="R90" s="306">
        <v>6.1957395587772281E-3</v>
      </c>
      <c r="S90" s="306">
        <v>5.4198249437612993E-3</v>
      </c>
      <c r="T90" s="306">
        <v>5.0413392258233901E-3</v>
      </c>
      <c r="U90" s="306">
        <v>5.1749259493707915E-3</v>
      </c>
      <c r="V90" s="306">
        <v>4.785231395569029E-3</v>
      </c>
      <c r="W90" s="306">
        <v>6.025728624851537E-3</v>
      </c>
      <c r="X90" s="306">
        <v>5.1956076744720091E-3</v>
      </c>
    </row>
    <row r="91" spans="1:24" x14ac:dyDescent="0.35">
      <c r="A91" s="24" t="s">
        <v>375</v>
      </c>
      <c r="B91" s="24" t="s">
        <v>99</v>
      </c>
      <c r="C91" s="24" t="s">
        <v>377</v>
      </c>
      <c r="D91" s="377">
        <v>2.5</v>
      </c>
      <c r="E91" s="305">
        <v>1.1519184666604423E-2</v>
      </c>
      <c r="F91" s="305">
        <v>1.1469037989586595E-2</v>
      </c>
      <c r="G91" s="305">
        <v>1.1422482095045833E-2</v>
      </c>
      <c r="H91" s="305">
        <v>1.1422482095045833E-2</v>
      </c>
      <c r="I91" s="305">
        <v>1.145829671157067E-2</v>
      </c>
      <c r="J91" s="305">
        <v>1.4293330712447566E-2</v>
      </c>
      <c r="K91" s="305">
        <v>1.4250672578061762E-2</v>
      </c>
      <c r="L91" s="305">
        <v>1.3902800157666199E-2</v>
      </c>
      <c r="M91" s="305">
        <v>1.3902800157666199E-2</v>
      </c>
      <c r="N91" s="305">
        <v>1.4087400901460432E-2</v>
      </c>
      <c r="O91" s="305">
        <v>2.7420148950716639E-2</v>
      </c>
      <c r="P91" s="305">
        <v>4.9483792378516682E-2</v>
      </c>
      <c r="Q91" s="305">
        <v>2.4658656182720524E-2</v>
      </c>
      <c r="R91" s="305">
        <v>2.3299804723512989E-2</v>
      </c>
      <c r="S91" s="305">
        <v>3.1215600558866709E-2</v>
      </c>
      <c r="T91" s="305">
        <v>2.4581983857720702E-2</v>
      </c>
      <c r="U91" s="305">
        <v>2.4745160544962258E-2</v>
      </c>
      <c r="V91" s="305">
        <v>2.2092052887920505E-2</v>
      </c>
      <c r="W91" s="305">
        <v>2.1992435497163593E-2</v>
      </c>
      <c r="X91" s="305">
        <v>2.3352908196941764E-2</v>
      </c>
    </row>
    <row r="92" spans="1:24" x14ac:dyDescent="0.35">
      <c r="A92" s="24" t="s">
        <v>375</v>
      </c>
      <c r="B92" s="24" t="s">
        <v>99</v>
      </c>
      <c r="C92" s="24" t="s">
        <v>377</v>
      </c>
      <c r="D92" s="377">
        <v>5</v>
      </c>
      <c r="E92" s="305">
        <v>6.3859038638213114E-3</v>
      </c>
      <c r="F92" s="305">
        <v>6.4599972393508606E-3</v>
      </c>
      <c r="G92" s="305">
        <v>6.3554539175656516E-3</v>
      </c>
      <c r="H92" s="305">
        <v>6.4413276220676927E-3</v>
      </c>
      <c r="I92" s="305">
        <v>6.4106706607013793E-3</v>
      </c>
      <c r="J92" s="305">
        <v>7.9238104488519017E-3</v>
      </c>
      <c r="K92" s="305">
        <v>8.0267678594105243E-3</v>
      </c>
      <c r="L92" s="305">
        <v>7.81453028321266E-3</v>
      </c>
      <c r="M92" s="305">
        <v>7.8875701874494501E-3</v>
      </c>
      <c r="N92" s="305">
        <v>7.9131696947311331E-3</v>
      </c>
      <c r="O92" s="305">
        <v>1.4146821219132702E-2</v>
      </c>
      <c r="P92" s="305">
        <v>2.4741896189258341E-2</v>
      </c>
      <c r="Q92" s="305">
        <v>1.4190488638903641E-2</v>
      </c>
      <c r="R92" s="305">
        <v>1.3456623271454608E-2</v>
      </c>
      <c r="S92" s="305">
        <v>1.6633957329687324E-2</v>
      </c>
      <c r="T92" s="305">
        <v>1.2350107997124594E-2</v>
      </c>
      <c r="U92" s="305">
        <v>1.2372578533501103E-2</v>
      </c>
      <c r="V92" s="305">
        <v>1.2886834391570163E-2</v>
      </c>
      <c r="W92" s="305">
        <v>1.2853492199758929E-2</v>
      </c>
      <c r="X92" s="305">
        <v>1.2615753280488699E-2</v>
      </c>
    </row>
    <row r="93" spans="1:24" x14ac:dyDescent="0.35">
      <c r="A93" s="24" t="s">
        <v>375</v>
      </c>
      <c r="B93" s="24" t="s">
        <v>99</v>
      </c>
      <c r="C93" s="24" t="s">
        <v>377</v>
      </c>
      <c r="D93" s="377">
        <v>10</v>
      </c>
      <c r="E93" s="305">
        <v>3.8377431080337675E-3</v>
      </c>
      <c r="F93" s="305">
        <v>3.9554522228252989E-3</v>
      </c>
      <c r="G93" s="305">
        <v>3.8424082722386638E-3</v>
      </c>
      <c r="H93" s="305">
        <v>3.9507761917668676E-3</v>
      </c>
      <c r="I93" s="305">
        <v>3.8965949487161497E-3</v>
      </c>
      <c r="J93" s="305">
        <v>4.7619803849114533E-3</v>
      </c>
      <c r="K93" s="305">
        <v>4.9147848822917459E-3</v>
      </c>
      <c r="L93" s="305">
        <v>4.7806407480190201E-3</v>
      </c>
      <c r="M93" s="305">
        <v>4.8799717333167696E-3</v>
      </c>
      <c r="N93" s="305">
        <v>4.8343444371347468E-3</v>
      </c>
      <c r="O93" s="305">
        <v>9.3184109210136066E-3</v>
      </c>
      <c r="P93" s="305">
        <v>1.2370942516383428E-2</v>
      </c>
      <c r="Q93" s="305">
        <v>9.2047391160757445E-3</v>
      </c>
      <c r="R93" s="305">
        <v>9.5453588003430855E-3</v>
      </c>
      <c r="S93" s="305">
        <v>1.0109862838453967E-2</v>
      </c>
      <c r="T93" s="305">
        <v>7.9405075310041724E-3</v>
      </c>
      <c r="U93" s="305">
        <v>7.988602941433583E-3</v>
      </c>
      <c r="V93" s="305">
        <v>8.4421585439116691E-3</v>
      </c>
      <c r="W93" s="305">
        <v>8.439039667468555E-3</v>
      </c>
      <c r="X93" s="305">
        <v>8.2025771709544944E-3</v>
      </c>
    </row>
    <row r="94" spans="1:24" x14ac:dyDescent="0.35">
      <c r="A94" s="24" t="s">
        <v>375</v>
      </c>
      <c r="B94" s="24" t="s">
        <v>99</v>
      </c>
      <c r="C94" s="24" t="s">
        <v>377</v>
      </c>
      <c r="D94" s="377">
        <v>15</v>
      </c>
      <c r="E94" s="305">
        <v>3.0376201882992815E-3</v>
      </c>
      <c r="F94" s="305">
        <v>3.1205900240544098E-3</v>
      </c>
      <c r="G94" s="305">
        <v>3.0443047628399681E-3</v>
      </c>
      <c r="H94" s="305">
        <v>3.1205900240544098E-3</v>
      </c>
      <c r="I94" s="305">
        <v>3.0807762498120169E-3</v>
      </c>
      <c r="J94" s="305">
        <v>3.7691651958703578E-3</v>
      </c>
      <c r="K94" s="305">
        <v>3.8774400018155501E-3</v>
      </c>
      <c r="L94" s="305">
        <v>3.78914992325007E-3</v>
      </c>
      <c r="M94" s="305">
        <v>3.8774400018155501E-3</v>
      </c>
      <c r="N94" s="305">
        <v>3.8282987806878823E-3</v>
      </c>
      <c r="O94" s="305">
        <v>7.7456609422620832E-3</v>
      </c>
      <c r="P94" s="305">
        <v>8.2472857138460535E-3</v>
      </c>
      <c r="Q94" s="305">
        <v>7.7197005835354096E-3</v>
      </c>
      <c r="R94" s="305">
        <v>8.2472855096011582E-3</v>
      </c>
      <c r="S94" s="305">
        <v>7.9899831873111761E-3</v>
      </c>
      <c r="T94" s="305">
        <v>7.3822738365795408E-3</v>
      </c>
      <c r="U94" s="305">
        <v>7.4522319433640424E-3</v>
      </c>
      <c r="V94" s="305">
        <v>7.4522319433640424E-3</v>
      </c>
      <c r="W94" s="305">
        <v>7.4522319433640424E-3</v>
      </c>
      <c r="X94" s="305">
        <v>7.4347424166679174E-3</v>
      </c>
    </row>
    <row r="95" spans="1:24" x14ac:dyDescent="0.35">
      <c r="A95" s="24" t="s">
        <v>375</v>
      </c>
      <c r="B95" s="24" t="s">
        <v>99</v>
      </c>
      <c r="C95" s="24" t="s">
        <v>377</v>
      </c>
      <c r="D95" s="377">
        <v>20</v>
      </c>
      <c r="E95" s="305">
        <v>2.5352418923223034E-3</v>
      </c>
      <c r="F95" s="305">
        <v>2.6894273996836602E-3</v>
      </c>
      <c r="G95" s="305">
        <v>2.5352418923223034E-3</v>
      </c>
      <c r="H95" s="305">
        <v>2.6894273371811266E-3</v>
      </c>
      <c r="I95" s="305">
        <v>2.6123346303773532E-3</v>
      </c>
      <c r="J95" s="305">
        <v>3.1457999721169398E-3</v>
      </c>
      <c r="K95" s="305">
        <v>3.3602800685912301E-3</v>
      </c>
      <c r="L95" s="305">
        <v>3.1457999721169398E-3</v>
      </c>
      <c r="M95" s="305">
        <v>3.3602800685912301E-3</v>
      </c>
      <c r="N95" s="305">
        <v>3.25304002035409E-3</v>
      </c>
      <c r="O95" s="305">
        <v>6.8434959084327125E-3</v>
      </c>
      <c r="P95" s="305">
        <v>7.2185615006408457E-3</v>
      </c>
      <c r="Q95" s="305">
        <v>6.8434978561820823E-3</v>
      </c>
      <c r="R95" s="305">
        <v>7.2185611998523127E-3</v>
      </c>
      <c r="S95" s="305">
        <v>7.0310291162769848E-3</v>
      </c>
      <c r="T95" s="305">
        <v>6.7131243421095065E-3</v>
      </c>
      <c r="U95" s="305">
        <v>6.7131243540140403E-3</v>
      </c>
      <c r="V95" s="305">
        <v>6.7131243540140403E-3</v>
      </c>
      <c r="W95" s="305">
        <v>6.7131243480617738E-3</v>
      </c>
      <c r="X95" s="305">
        <v>6.7131243495498413E-3</v>
      </c>
    </row>
    <row r="96" spans="1:24" x14ac:dyDescent="0.35">
      <c r="A96" s="24" t="s">
        <v>375</v>
      </c>
      <c r="B96" s="24" t="s">
        <v>99</v>
      </c>
      <c r="C96" s="24" t="s">
        <v>377</v>
      </c>
      <c r="D96" s="377">
        <v>25</v>
      </c>
      <c r="E96" s="305">
        <v>2.2628291366448301E-3</v>
      </c>
      <c r="F96" s="305">
        <v>2.398375552207282E-3</v>
      </c>
      <c r="G96" s="305">
        <v>2.2628291366448301E-3</v>
      </c>
      <c r="H96" s="305">
        <v>2.398375552207282E-3</v>
      </c>
      <c r="I96" s="305">
        <v>2.3306023444260603E-3</v>
      </c>
      <c r="J96" s="305">
        <v>2.8196400962769898E-3</v>
      </c>
      <c r="K96" s="305">
        <v>3.0179899185895898E-3</v>
      </c>
      <c r="L96" s="305">
        <v>2.8196400962769898E-3</v>
      </c>
      <c r="M96" s="305">
        <v>3.0179899185895898E-3</v>
      </c>
      <c r="N96" s="305">
        <v>2.91881500743329E-3</v>
      </c>
      <c r="O96" s="305">
        <v>6.1576758142699618E-3</v>
      </c>
      <c r="P96" s="305">
        <v>6.5303529583080229E-3</v>
      </c>
      <c r="Q96" s="305">
        <v>6.1576758142699618E-3</v>
      </c>
      <c r="R96" s="305">
        <v>6.5303529583080229E-3</v>
      </c>
      <c r="S96" s="305">
        <v>6.3440143862889932E-3</v>
      </c>
      <c r="T96" s="305">
        <v>6.145989908312023E-3</v>
      </c>
      <c r="U96" s="305">
        <v>6.145989908312023E-3</v>
      </c>
      <c r="V96" s="305">
        <v>6.145989908312023E-3</v>
      </c>
      <c r="W96" s="305">
        <v>6.145989908312023E-3</v>
      </c>
      <c r="X96" s="305">
        <v>6.145989908312023E-3</v>
      </c>
    </row>
    <row r="97" spans="1:24" x14ac:dyDescent="0.35">
      <c r="A97" s="24" t="s">
        <v>375</v>
      </c>
      <c r="B97" s="24" t="s">
        <v>99</v>
      </c>
      <c r="C97" s="24" t="s">
        <v>377</v>
      </c>
      <c r="D97" s="377">
        <v>30</v>
      </c>
      <c r="E97" s="305">
        <v>2.0867009220976959E-3</v>
      </c>
      <c r="F97" s="305">
        <v>2.1434058841042613E-3</v>
      </c>
      <c r="G97" s="305">
        <v>2.0867009220976959E-3</v>
      </c>
      <c r="H97" s="305">
        <v>2.1434058841042613E-3</v>
      </c>
      <c r="I97" s="305">
        <v>2.115053403100974E-3</v>
      </c>
      <c r="J97" s="305">
        <v>2.6113099884241802E-3</v>
      </c>
      <c r="K97" s="305">
        <v>2.6936600916087601E-3</v>
      </c>
      <c r="L97" s="305">
        <v>2.6113099884241802E-3</v>
      </c>
      <c r="M97" s="305">
        <v>2.6936600916087601E-3</v>
      </c>
      <c r="N97" s="305">
        <v>2.6524850400164702E-3</v>
      </c>
      <c r="O97" s="305">
        <v>6.0356554450446409E-3</v>
      </c>
      <c r="P97" s="305">
        <v>6.1120859944373837E-3</v>
      </c>
      <c r="Q97" s="305">
        <v>6.0356549957058647E-3</v>
      </c>
      <c r="R97" s="305">
        <v>6.1120862088945294E-3</v>
      </c>
      <c r="S97" s="305">
        <v>6.0738706610206084E-3</v>
      </c>
      <c r="T97" s="305">
        <v>5.9956633039864159E-3</v>
      </c>
      <c r="U97" s="305">
        <v>5.9956633039864159E-3</v>
      </c>
      <c r="V97" s="305">
        <v>5.9956633039864159E-3</v>
      </c>
      <c r="W97" s="305">
        <v>5.9956633039864159E-3</v>
      </c>
      <c r="X97" s="305">
        <v>5.9956633039864159E-3</v>
      </c>
    </row>
    <row r="98" spans="1:24" x14ac:dyDescent="0.35">
      <c r="A98" s="24" t="s">
        <v>375</v>
      </c>
      <c r="B98" s="24" t="s">
        <v>99</v>
      </c>
      <c r="C98" s="24" t="s">
        <v>377</v>
      </c>
      <c r="D98" s="377">
        <v>35</v>
      </c>
      <c r="E98" s="305">
        <v>2.0120076053629183E-3</v>
      </c>
      <c r="F98" s="305">
        <v>2.0317942245217466E-3</v>
      </c>
      <c r="G98" s="305">
        <v>2.0120076053629183E-3</v>
      </c>
      <c r="H98" s="305">
        <v>2.0252055934025901E-3</v>
      </c>
      <c r="I98" s="305">
        <v>2.0202537571625406E-3</v>
      </c>
      <c r="J98" s="305">
        <v>2.5388000067323399E-3</v>
      </c>
      <c r="K98" s="305">
        <v>2.5682200212031599E-3</v>
      </c>
      <c r="L98" s="305">
        <v>2.5388000067323399E-3</v>
      </c>
      <c r="M98" s="305">
        <v>2.5589501019567199E-3</v>
      </c>
      <c r="N98" s="305">
        <v>2.5511925341561402E-3</v>
      </c>
      <c r="O98" s="305">
        <v>5.3639127603570484E-3</v>
      </c>
      <c r="P98" s="305">
        <v>5.7064300585968038E-3</v>
      </c>
      <c r="Q98" s="305">
        <v>5.3639127603570484E-3</v>
      </c>
      <c r="R98" s="305">
        <v>5.7064300585968038E-3</v>
      </c>
      <c r="S98" s="305">
        <v>5.5351714094769274E-3</v>
      </c>
      <c r="T98" s="305">
        <v>5.257652858026143E-3</v>
      </c>
      <c r="U98" s="305">
        <v>5.2576528502276121E-3</v>
      </c>
      <c r="V98" s="305">
        <v>5.2576528502276121E-3</v>
      </c>
      <c r="W98" s="305">
        <v>5.2576528502276121E-3</v>
      </c>
      <c r="X98" s="305">
        <v>5.2576528521772444E-3</v>
      </c>
    </row>
    <row r="99" spans="1:24" x14ac:dyDescent="0.35">
      <c r="A99" s="24" t="s">
        <v>375</v>
      </c>
      <c r="B99" s="24" t="s">
        <v>99</v>
      </c>
      <c r="C99" s="24" t="s">
        <v>377</v>
      </c>
      <c r="D99" s="377">
        <v>40</v>
      </c>
      <c r="E99" s="305">
        <v>1.9609622065010681E-3</v>
      </c>
      <c r="F99" s="305">
        <v>1.9649129735275963E-3</v>
      </c>
      <c r="G99" s="305">
        <v>1.9609622065010681E-3</v>
      </c>
      <c r="H99" s="305">
        <v>1.9519121872587334E-3</v>
      </c>
      <c r="I99" s="305">
        <v>1.9596873934471172E-3</v>
      </c>
      <c r="J99" s="305">
        <v>2.4918299168348299E-3</v>
      </c>
      <c r="K99" s="305">
        <v>2.4995699059218099E-3</v>
      </c>
      <c r="L99" s="305">
        <v>2.4918299168348299E-3</v>
      </c>
      <c r="M99" s="305">
        <v>2.4812713381834302E-3</v>
      </c>
      <c r="N99" s="305">
        <v>2.4911252694437198E-3</v>
      </c>
      <c r="O99" s="305">
        <v>5.2123634213885198E-3</v>
      </c>
      <c r="P99" s="305">
        <v>5.473491403182624E-3</v>
      </c>
      <c r="Q99" s="305">
        <v>5.2123629720497444E-3</v>
      </c>
      <c r="R99" s="305">
        <v>5.473491403182624E-3</v>
      </c>
      <c r="S99" s="305">
        <v>5.34292729995088E-3</v>
      </c>
      <c r="T99" s="305">
        <v>5.1542442301088535E-3</v>
      </c>
      <c r="U99" s="305">
        <v>5.1542442241565862E-3</v>
      </c>
      <c r="V99" s="305">
        <v>5.1542442182043197E-3</v>
      </c>
      <c r="W99" s="305">
        <v>5.1542442182043197E-3</v>
      </c>
      <c r="X99" s="305">
        <v>5.1542442226685196E-3</v>
      </c>
    </row>
    <row r="100" spans="1:24" x14ac:dyDescent="0.35">
      <c r="A100" s="24" t="s">
        <v>375</v>
      </c>
      <c r="B100" s="24" t="s">
        <v>99</v>
      </c>
      <c r="C100" s="24" t="s">
        <v>377</v>
      </c>
      <c r="D100" s="377">
        <v>45</v>
      </c>
      <c r="E100" s="305">
        <v>1.9212579131844254E-3</v>
      </c>
      <c r="F100" s="305">
        <v>1.9128973015750488E-3</v>
      </c>
      <c r="G100" s="305">
        <v>1.9212579744930258E-3</v>
      </c>
      <c r="H100" s="305">
        <v>1.8975138006522242E-3</v>
      </c>
      <c r="I100" s="305">
        <v>1.913231747476183E-3</v>
      </c>
      <c r="J100" s="305">
        <v>2.45529953584385E-3</v>
      </c>
      <c r="K100" s="305">
        <v>2.4461799766868301E-3</v>
      </c>
      <c r="L100" s="305">
        <v>2.45529995299875E-3</v>
      </c>
      <c r="M100" s="305">
        <v>2.4220000486820902E-3</v>
      </c>
      <c r="N100" s="305">
        <v>2.44469487855288E-3</v>
      </c>
      <c r="O100" s="305">
        <v>5.1014769613918513E-3</v>
      </c>
      <c r="P100" s="305">
        <v>5.2934916400505074E-3</v>
      </c>
      <c r="Q100" s="305">
        <v>5.1014769613918513E-3</v>
      </c>
      <c r="R100" s="305">
        <v>5.2934916400505074E-3</v>
      </c>
      <c r="S100" s="305">
        <v>5.1974843007211828E-3</v>
      </c>
      <c r="T100" s="305">
        <v>5.0748086077092814E-3</v>
      </c>
      <c r="U100" s="305">
        <v>5.0748086077092814E-3</v>
      </c>
      <c r="V100" s="305">
        <v>5.0748086077092814E-3</v>
      </c>
      <c r="W100" s="305">
        <v>5.0748086077092814E-3</v>
      </c>
      <c r="X100" s="305">
        <v>5.0748086077092814E-3</v>
      </c>
    </row>
    <row r="101" spans="1:24" x14ac:dyDescent="0.35">
      <c r="A101" s="24" t="s">
        <v>375</v>
      </c>
      <c r="B101" s="24" t="s">
        <v>99</v>
      </c>
      <c r="C101" s="24" t="s">
        <v>377</v>
      </c>
      <c r="D101" s="377">
        <v>50</v>
      </c>
      <c r="E101" s="305">
        <v>1.8701925862633982E-3</v>
      </c>
      <c r="F101" s="305">
        <v>1.8744353651594732E-3</v>
      </c>
      <c r="G101" s="305">
        <v>1.8701925862633982E-3</v>
      </c>
      <c r="H101" s="305">
        <v>1.8584143737036842E-3</v>
      </c>
      <c r="I101" s="305">
        <v>1.8683087278474882E-3</v>
      </c>
      <c r="J101" s="305">
        <v>2.4014899972826199E-3</v>
      </c>
      <c r="K101" s="305">
        <v>2.4078900460153801E-3</v>
      </c>
      <c r="L101" s="305">
        <v>2.4014899972826199E-3</v>
      </c>
      <c r="M101" s="305">
        <v>2.3765104803411901E-3</v>
      </c>
      <c r="N101" s="305">
        <v>2.39684513023045E-3</v>
      </c>
      <c r="O101" s="305">
        <v>5.0692983679748648E-3</v>
      </c>
      <c r="P101" s="305">
        <v>5.1590341125807336E-3</v>
      </c>
      <c r="Q101" s="305">
        <v>5.0692983679748648E-3</v>
      </c>
      <c r="R101" s="305">
        <v>5.1590341125807336E-3</v>
      </c>
      <c r="S101" s="305">
        <v>5.1141662402777975E-3</v>
      </c>
      <c r="T101" s="305">
        <v>4.8991461872840642E-3</v>
      </c>
      <c r="U101" s="305">
        <v>4.8991461872840642E-3</v>
      </c>
      <c r="V101" s="305">
        <v>4.8991461872840642E-3</v>
      </c>
      <c r="W101" s="305">
        <v>4.8991461872840642E-3</v>
      </c>
      <c r="X101" s="305">
        <v>4.8991461872840642E-3</v>
      </c>
    </row>
    <row r="102" spans="1:24" x14ac:dyDescent="0.35">
      <c r="A102" s="24" t="s">
        <v>375</v>
      </c>
      <c r="B102" s="24" t="s">
        <v>99</v>
      </c>
      <c r="C102" s="24" t="s">
        <v>377</v>
      </c>
      <c r="D102" s="377">
        <v>55</v>
      </c>
      <c r="E102" s="305">
        <v>1.8232689843000946E-3</v>
      </c>
      <c r="F102" s="305">
        <v>1.8555345737896311E-3</v>
      </c>
      <c r="G102" s="305">
        <v>1.8232689843000946E-3</v>
      </c>
      <c r="H102" s="305">
        <v>1.8373217844363239E-3</v>
      </c>
      <c r="I102" s="305">
        <v>1.8348485817065313E-3</v>
      </c>
      <c r="J102" s="305">
        <v>2.3509298916906101E-3</v>
      </c>
      <c r="K102" s="305">
        <v>2.3942398838698799E-3</v>
      </c>
      <c r="L102" s="305">
        <v>2.3509298916906101E-3</v>
      </c>
      <c r="M102" s="305">
        <v>2.35950033917712E-3</v>
      </c>
      <c r="N102" s="305">
        <v>2.3639000016070499E-3</v>
      </c>
      <c r="O102" s="305">
        <v>5.0429745410076341E-3</v>
      </c>
      <c r="P102" s="305">
        <v>5.0490175150787265E-3</v>
      </c>
      <c r="Q102" s="305">
        <v>5.042974612786715E-3</v>
      </c>
      <c r="R102" s="305">
        <v>5.0490176586368892E-3</v>
      </c>
      <c r="S102" s="305">
        <v>5.0459960818774923E-3</v>
      </c>
      <c r="T102" s="305">
        <v>4.7092878919334259E-3</v>
      </c>
      <c r="U102" s="305">
        <v>4.7092882010923388E-3</v>
      </c>
      <c r="V102" s="305">
        <v>4.7092882010923388E-3</v>
      </c>
      <c r="W102" s="305">
        <v>4.7092882010923388E-3</v>
      </c>
      <c r="X102" s="305">
        <v>4.7092881238026147E-3</v>
      </c>
    </row>
    <row r="103" spans="1:24" x14ac:dyDescent="0.35">
      <c r="A103" s="24" t="s">
        <v>375</v>
      </c>
      <c r="B103" s="24" t="s">
        <v>99</v>
      </c>
      <c r="C103" s="24" t="s">
        <v>377</v>
      </c>
      <c r="D103" s="377">
        <v>60</v>
      </c>
      <c r="E103" s="305">
        <v>1.7987289384379889E-3</v>
      </c>
      <c r="F103" s="305">
        <v>1.8380877655522841E-3</v>
      </c>
      <c r="G103" s="305">
        <v>1.7987289384379889E-3</v>
      </c>
      <c r="H103" s="305">
        <v>1.8291737095180939E-3</v>
      </c>
      <c r="I103" s="305">
        <v>1.8161798379865888E-3</v>
      </c>
      <c r="J103" s="305">
        <v>2.32952996157109E-3</v>
      </c>
      <c r="K103" s="305">
        <v>2.3717278570296722E-3</v>
      </c>
      <c r="L103" s="305">
        <v>2.32952996157109E-3</v>
      </c>
      <c r="M103" s="305">
        <v>2.3490365294644945E-3</v>
      </c>
      <c r="N103" s="305">
        <v>2.3449560774090866E-3</v>
      </c>
      <c r="O103" s="305">
        <v>5.0063039171115899E-3</v>
      </c>
      <c r="P103" s="305">
        <v>5.0488729286442087E-3</v>
      </c>
      <c r="Q103" s="305">
        <v>5.0063039171115899E-3</v>
      </c>
      <c r="R103" s="305">
        <v>5.0488549325289813E-3</v>
      </c>
      <c r="S103" s="305">
        <v>5.0275839238490922E-3</v>
      </c>
      <c r="T103" s="305">
        <v>4.7169246853184998E-3</v>
      </c>
      <c r="U103" s="305">
        <v>4.6722878006865238E-3</v>
      </c>
      <c r="V103" s="305">
        <v>4.7169246853184998E-3</v>
      </c>
      <c r="W103" s="305">
        <v>4.67236298237077E-3</v>
      </c>
      <c r="X103" s="305">
        <v>4.6946250384235734E-3</v>
      </c>
    </row>
    <row r="104" spans="1:24" x14ac:dyDescent="0.35">
      <c r="A104" s="24" t="s">
        <v>375</v>
      </c>
      <c r="B104" s="24" t="s">
        <v>99</v>
      </c>
      <c r="C104" s="24" t="s">
        <v>377</v>
      </c>
      <c r="D104" s="377">
        <v>65</v>
      </c>
      <c r="E104" s="305">
        <v>1.8309710614863724E-3</v>
      </c>
      <c r="F104" s="305">
        <v>1.8441584633440036E-3</v>
      </c>
      <c r="G104" s="305">
        <v>1.8309710614863724E-3</v>
      </c>
      <c r="H104" s="305">
        <v>1.8410880916308288E-3</v>
      </c>
      <c r="I104" s="305">
        <v>1.8367971694868944E-3</v>
      </c>
      <c r="J104" s="305">
        <v>2.387739950791E-3</v>
      </c>
      <c r="K104" s="305">
        <v>2.3795610211114226E-3</v>
      </c>
      <c r="L104" s="305">
        <v>2.387739950791E-3</v>
      </c>
      <c r="M104" s="305">
        <v>2.3643370548674021E-3</v>
      </c>
      <c r="N104" s="305">
        <v>2.3798444943902062E-3</v>
      </c>
      <c r="O104" s="305">
        <v>5.3292088161013291E-3</v>
      </c>
      <c r="P104" s="305">
        <v>5.4145389574179748E-3</v>
      </c>
      <c r="Q104" s="305">
        <v>5.3292089373187324E-3</v>
      </c>
      <c r="R104" s="305">
        <v>5.4145335757486051E-3</v>
      </c>
      <c r="S104" s="305">
        <v>5.3718725716466603E-3</v>
      </c>
      <c r="T104" s="305">
        <v>4.9573722479354584E-3</v>
      </c>
      <c r="U104" s="305">
        <v>4.9737719937253365E-3</v>
      </c>
      <c r="V104" s="305">
        <v>4.9573722479354584E-3</v>
      </c>
      <c r="W104" s="305">
        <v>4.9738477537984559E-3</v>
      </c>
      <c r="X104" s="305">
        <v>4.9655910608486769E-3</v>
      </c>
    </row>
    <row r="105" spans="1:24" x14ac:dyDescent="0.35">
      <c r="A105" s="24" t="s">
        <v>375</v>
      </c>
      <c r="B105" s="24" t="s">
        <v>99</v>
      </c>
      <c r="C105" s="24" t="s">
        <v>377</v>
      </c>
      <c r="D105" s="377">
        <v>70</v>
      </c>
      <c r="E105" s="305">
        <v>1.9062884222161966E-3</v>
      </c>
      <c r="F105" s="305">
        <v>1.9021901069993809E-3</v>
      </c>
      <c r="G105" s="305">
        <v>1.9062884222161966E-3</v>
      </c>
      <c r="H105" s="305">
        <v>1.8990232921791978E-3</v>
      </c>
      <c r="I105" s="305">
        <v>1.903447560902743E-3</v>
      </c>
      <c r="J105" s="305">
        <v>2.5024400092661298E-3</v>
      </c>
      <c r="K105" s="305">
        <v>2.4544406152342429E-3</v>
      </c>
      <c r="L105" s="305">
        <v>2.5024400092661298E-3</v>
      </c>
      <c r="M105" s="305">
        <v>2.4387378084545644E-3</v>
      </c>
      <c r="N105" s="305">
        <v>2.4745146105552666E-3</v>
      </c>
      <c r="O105" s="305">
        <v>5.6346544592313754E-3</v>
      </c>
      <c r="P105" s="305">
        <v>5.7603923764286986E-3</v>
      </c>
      <c r="Q105" s="305">
        <v>5.6346544592313754E-3</v>
      </c>
      <c r="R105" s="305">
        <v>5.7603756396501019E-3</v>
      </c>
      <c r="S105" s="305">
        <v>5.6975192336353878E-3</v>
      </c>
      <c r="T105" s="305">
        <v>5.1672896926552876E-3</v>
      </c>
      <c r="U105" s="305">
        <v>5.2322392162328151E-3</v>
      </c>
      <c r="V105" s="305">
        <v>5.1672896926552876E-3</v>
      </c>
      <c r="W105" s="305">
        <v>5.2322796528007868E-3</v>
      </c>
      <c r="X105" s="305">
        <v>5.199774563586044E-3</v>
      </c>
    </row>
    <row r="106" spans="1:24" x14ac:dyDescent="0.35">
      <c r="A106" s="24" t="s">
        <v>375</v>
      </c>
      <c r="B106" s="24" t="s">
        <v>99</v>
      </c>
      <c r="C106" s="24" t="s">
        <v>377</v>
      </c>
      <c r="D106" s="377">
        <v>75</v>
      </c>
      <c r="E106" s="305">
        <v>2.007955864284921E-3</v>
      </c>
      <c r="F106" s="305">
        <v>2.0058415949050735E-3</v>
      </c>
      <c r="G106" s="305">
        <v>1.9926547403589932E-3</v>
      </c>
      <c r="H106" s="305">
        <v>2.0025065879454092E-3</v>
      </c>
      <c r="I106" s="305">
        <v>2.002239696873599E-3</v>
      </c>
      <c r="J106" s="305">
        <v>2.6359018042954175E-3</v>
      </c>
      <c r="K106" s="305">
        <v>2.5881845669081948E-3</v>
      </c>
      <c r="L106" s="305">
        <v>2.6158155758670533E-3</v>
      </c>
      <c r="M106" s="305">
        <v>2.5716317160584794E-3</v>
      </c>
      <c r="N106" s="305">
        <v>2.6028834157822861E-3</v>
      </c>
      <c r="O106" s="305">
        <v>5.6317453022952518E-3</v>
      </c>
      <c r="P106" s="305">
        <v>5.759283702587643E-3</v>
      </c>
      <c r="Q106" s="305">
        <v>5.6274081326662994E-3</v>
      </c>
      <c r="R106" s="305">
        <v>5.7592546968543148E-3</v>
      </c>
      <c r="S106" s="305">
        <v>5.6944229586008777E-3</v>
      </c>
      <c r="T106" s="305">
        <v>5.0178581516367926E-3</v>
      </c>
      <c r="U106" s="305">
        <v>5.0781433925929046E-3</v>
      </c>
      <c r="V106" s="305">
        <v>5.0244839180511513E-3</v>
      </c>
      <c r="W106" s="305">
        <v>5.0781840576431874E-3</v>
      </c>
      <c r="X106" s="305">
        <v>5.0496673799810092E-3</v>
      </c>
    </row>
    <row r="107" spans="1:24" x14ac:dyDescent="0.35">
      <c r="A107" s="24" t="s">
        <v>375</v>
      </c>
      <c r="B107" s="24" t="s">
        <v>378</v>
      </c>
      <c r="C107" s="24" t="s">
        <v>379</v>
      </c>
      <c r="D107" s="306" t="s">
        <v>376</v>
      </c>
      <c r="E107" s="307">
        <v>2.2692232734614128</v>
      </c>
      <c r="F107" s="307">
        <v>2.5076823045359684</v>
      </c>
      <c r="G107" s="307">
        <v>2.0460592497905337</v>
      </c>
      <c r="H107" s="307">
        <v>3.084578372858366</v>
      </c>
      <c r="I107" s="307">
        <v>2.4444866254681359</v>
      </c>
      <c r="J107" s="307">
        <v>3.0931824776809638</v>
      </c>
      <c r="K107" s="307">
        <v>3.1527846457436639</v>
      </c>
      <c r="L107" s="307">
        <v>2.698056515033624</v>
      </c>
      <c r="M107" s="307">
        <v>3.7790359479840818</v>
      </c>
      <c r="N107" s="307">
        <v>3.0582351915014359</v>
      </c>
      <c r="O107" s="307">
        <v>10.138905637888811</v>
      </c>
      <c r="P107" s="307">
        <v>5.7862955289887337</v>
      </c>
      <c r="Q107" s="307">
        <v>5.8871466210128851</v>
      </c>
      <c r="R107" s="307">
        <v>5.7601211792271636</v>
      </c>
      <c r="S107" s="307">
        <v>5.5004306630513229</v>
      </c>
      <c r="T107" s="307">
        <v>2.115889397529839</v>
      </c>
      <c r="U107" s="307">
        <v>2.6245999997265459</v>
      </c>
      <c r="V107" s="307">
        <v>2.1260126890266688</v>
      </c>
      <c r="W107" s="307">
        <v>3.3843372933581457</v>
      </c>
      <c r="X107" s="307">
        <v>2.6712648865522639</v>
      </c>
    </row>
    <row r="108" spans="1:24" x14ac:dyDescent="0.35">
      <c r="A108" s="24" t="s">
        <v>375</v>
      </c>
      <c r="B108" s="24" t="s">
        <v>378</v>
      </c>
      <c r="C108" s="24" t="s">
        <v>379</v>
      </c>
      <c r="D108" s="377">
        <v>2.5</v>
      </c>
      <c r="E108" s="305">
        <v>12.23205865315173</v>
      </c>
      <c r="F108" s="305">
        <v>12.81538286151857</v>
      </c>
      <c r="G108" s="305">
        <v>10.050229735787438</v>
      </c>
      <c r="H108" s="305">
        <v>10.050230086755077</v>
      </c>
      <c r="I108" s="305">
        <v>11.286975334303204</v>
      </c>
      <c r="J108" s="305">
        <v>14.618754409934766</v>
      </c>
      <c r="K108" s="305">
        <v>15.278345434813932</v>
      </c>
      <c r="L108" s="305">
        <v>11.4947918168812</v>
      </c>
      <c r="M108" s="305">
        <v>11.494791816454301</v>
      </c>
      <c r="N108" s="305">
        <v>13.22167086952105</v>
      </c>
      <c r="O108" s="305">
        <v>32.344650267139542</v>
      </c>
      <c r="P108" s="305">
        <v>32.019853049243949</v>
      </c>
      <c r="Q108" s="305">
        <v>24.304928178803692</v>
      </c>
      <c r="R108" s="305">
        <v>22.675581292132691</v>
      </c>
      <c r="S108" s="305">
        <v>27.836253196829968</v>
      </c>
      <c r="T108" s="305">
        <v>22.000489600070559</v>
      </c>
      <c r="U108" s="305">
        <v>22.668027347290192</v>
      </c>
      <c r="V108" s="305">
        <v>16.386942877573979</v>
      </c>
      <c r="W108" s="305">
        <v>16.259975157538033</v>
      </c>
      <c r="X108" s="305">
        <v>19.328858745618192</v>
      </c>
    </row>
    <row r="109" spans="1:24" x14ac:dyDescent="0.35">
      <c r="A109" s="24" t="s">
        <v>375</v>
      </c>
      <c r="B109" s="24" t="s">
        <v>378</v>
      </c>
      <c r="C109" s="24" t="s">
        <v>379</v>
      </c>
      <c r="D109" s="377">
        <v>5</v>
      </c>
      <c r="E109" s="305">
        <v>7.0564722778555122</v>
      </c>
      <c r="F109" s="305">
        <v>7.693783044073534</v>
      </c>
      <c r="G109" s="305">
        <v>5.9746393565418803</v>
      </c>
      <c r="H109" s="305">
        <v>6.6164063762309153</v>
      </c>
      <c r="I109" s="305">
        <v>6.8353252636754602</v>
      </c>
      <c r="J109" s="305">
        <v>8.4333175760159698</v>
      </c>
      <c r="K109" s="305">
        <v>9.172435682810395</v>
      </c>
      <c r="L109" s="305">
        <v>7.0599608901538797</v>
      </c>
      <c r="M109" s="305">
        <v>7.6932085363659999</v>
      </c>
      <c r="N109" s="305">
        <v>8.0897306713365609</v>
      </c>
      <c r="O109" s="305">
        <v>16.172325319971705</v>
      </c>
      <c r="P109" s="305">
        <v>16.009926524621974</v>
      </c>
      <c r="Q109" s="305">
        <v>14.607574822606701</v>
      </c>
      <c r="R109" s="305">
        <v>13.237135528713873</v>
      </c>
      <c r="S109" s="305">
        <v>15.006740548978563</v>
      </c>
      <c r="T109" s="305">
        <v>11.000244926823907</v>
      </c>
      <c r="U109" s="305">
        <v>11.334013673645096</v>
      </c>
      <c r="V109" s="305">
        <v>10.116847095973261</v>
      </c>
      <c r="W109" s="305">
        <v>10.067359289460043</v>
      </c>
      <c r="X109" s="305">
        <v>10.629616246475576</v>
      </c>
    </row>
    <row r="110" spans="1:24" x14ac:dyDescent="0.35">
      <c r="A110" s="24" t="s">
        <v>375</v>
      </c>
      <c r="B110" s="24" t="s">
        <v>378</v>
      </c>
      <c r="C110" s="24" t="s">
        <v>379</v>
      </c>
      <c r="D110" s="377">
        <v>10</v>
      </c>
      <c r="E110" s="305">
        <v>4.4483688619161272</v>
      </c>
      <c r="F110" s="305">
        <v>5.1544967800087296</v>
      </c>
      <c r="G110" s="305">
        <v>3.9933578514141717</v>
      </c>
      <c r="H110" s="305">
        <v>4.8994957441261082</v>
      </c>
      <c r="I110" s="305">
        <v>4.6239298093662846</v>
      </c>
      <c r="J110" s="305">
        <v>5.3163260380865873</v>
      </c>
      <c r="K110" s="305">
        <v>6.1451291154229057</v>
      </c>
      <c r="L110" s="305">
        <v>4.8597371137196497</v>
      </c>
      <c r="M110" s="305">
        <v>5.7924229784402996</v>
      </c>
      <c r="N110" s="305">
        <v>5.5284038114173608</v>
      </c>
      <c r="O110" s="305">
        <v>9.4388263392811318</v>
      </c>
      <c r="P110" s="305">
        <v>9.3439515524047394</v>
      </c>
      <c r="Q110" s="305">
        <v>9.4169252298272745</v>
      </c>
      <c r="R110" s="305">
        <v>9.2356967426823999</v>
      </c>
      <c r="S110" s="305">
        <v>9.3588499660488864</v>
      </c>
      <c r="T110" s="305">
        <v>6.4201900159420502</v>
      </c>
      <c r="U110" s="305">
        <v>6.6149257148657181</v>
      </c>
      <c r="V110" s="305">
        <v>6.622587412861999</v>
      </c>
      <c r="W110" s="305">
        <v>6.6175868973986178</v>
      </c>
      <c r="X110" s="305">
        <v>6.5688225102670961</v>
      </c>
    </row>
    <row r="111" spans="1:24" x14ac:dyDescent="0.35">
      <c r="A111" s="24" t="s">
        <v>375</v>
      </c>
      <c r="B111" s="24" t="s">
        <v>378</v>
      </c>
      <c r="C111" s="24" t="s">
        <v>379</v>
      </c>
      <c r="D111" s="377">
        <v>15</v>
      </c>
      <c r="E111" s="305">
        <v>3.5989322065086777</v>
      </c>
      <c r="F111" s="305">
        <v>4.3271949862291077</v>
      </c>
      <c r="G111" s="305">
        <v>3.4423215057926138</v>
      </c>
      <c r="H111" s="305">
        <v>4.3271952404414025</v>
      </c>
      <c r="I111" s="305">
        <v>3.9239109847429505</v>
      </c>
      <c r="J111" s="305">
        <v>4.3011489363157143</v>
      </c>
      <c r="K111" s="305">
        <v>5.1588298592250696</v>
      </c>
      <c r="L111" s="305">
        <v>4.1596000778954396</v>
      </c>
      <c r="M111" s="305">
        <v>5.1588290247600499</v>
      </c>
      <c r="N111" s="305">
        <v>4.6946019745490686</v>
      </c>
      <c r="O111" s="305">
        <v>7.5879578795785285</v>
      </c>
      <c r="P111" s="305">
        <v>7.5117522928036484</v>
      </c>
      <c r="Q111" s="305">
        <v>7.5904076592090668</v>
      </c>
      <c r="R111" s="305">
        <v>7.5117519806402493</v>
      </c>
      <c r="S111" s="305">
        <v>7.5504674530578733</v>
      </c>
      <c r="T111" s="305">
        <v>5.1612488320840448</v>
      </c>
      <c r="U111" s="305">
        <v>5.3178447176965866</v>
      </c>
      <c r="V111" s="305">
        <v>5.3178447482526225</v>
      </c>
      <c r="W111" s="305">
        <v>5.3178447613186233</v>
      </c>
      <c r="X111" s="305">
        <v>5.2786957648379698</v>
      </c>
    </row>
    <row r="112" spans="1:24" x14ac:dyDescent="0.35">
      <c r="A112" s="24" t="s">
        <v>375</v>
      </c>
      <c r="B112" s="24" t="s">
        <v>378</v>
      </c>
      <c r="C112" s="24" t="s">
        <v>379</v>
      </c>
      <c r="D112" s="377">
        <v>20</v>
      </c>
      <c r="E112" s="305">
        <v>3.1234569782794281</v>
      </c>
      <c r="F112" s="305">
        <v>3.8645151501387036</v>
      </c>
      <c r="G112" s="305">
        <v>3.1234573967060939</v>
      </c>
      <c r="H112" s="305">
        <v>3.8645151084417608</v>
      </c>
      <c r="I112" s="305">
        <v>3.4939861583914986</v>
      </c>
      <c r="J112" s="305">
        <v>3.7328998961020199</v>
      </c>
      <c r="K112" s="305">
        <v>4.6591308207716704</v>
      </c>
      <c r="L112" s="305">
        <v>3.7328998961020199</v>
      </c>
      <c r="M112" s="305">
        <v>4.6591308207716704</v>
      </c>
      <c r="N112" s="305">
        <v>4.19601535843685</v>
      </c>
      <c r="O112" s="305">
        <v>6.2359391043613508</v>
      </c>
      <c r="P112" s="305">
        <v>6.2562165343681722</v>
      </c>
      <c r="Q112" s="305">
        <v>6.2359395984948556</v>
      </c>
      <c r="R112" s="305">
        <v>6.2562165391610387</v>
      </c>
      <c r="S112" s="305">
        <v>6.2460779440963528</v>
      </c>
      <c r="T112" s="305">
        <v>4.2416199364986422</v>
      </c>
      <c r="U112" s="305">
        <v>4.2416189252714895</v>
      </c>
      <c r="V112" s="305">
        <v>4.2416190695997082</v>
      </c>
      <c r="W112" s="305">
        <v>4.241618993386628</v>
      </c>
      <c r="X112" s="305">
        <v>4.2416192311891132</v>
      </c>
    </row>
    <row r="113" spans="1:24" x14ac:dyDescent="0.35">
      <c r="A113" s="24" t="s">
        <v>375</v>
      </c>
      <c r="B113" s="24" t="s">
        <v>378</v>
      </c>
      <c r="C113" s="24" t="s">
        <v>379</v>
      </c>
      <c r="D113" s="377">
        <v>25</v>
      </c>
      <c r="E113" s="305">
        <v>2.835321385198041</v>
      </c>
      <c r="F113" s="305">
        <v>3.2315550875248795</v>
      </c>
      <c r="G113" s="305">
        <v>2.8353213250513547</v>
      </c>
      <c r="H113" s="305">
        <v>3.2315550872106971</v>
      </c>
      <c r="I113" s="305">
        <v>3.033438221246243</v>
      </c>
      <c r="J113" s="305">
        <v>3.40554556949064</v>
      </c>
      <c r="K113" s="305">
        <v>3.9911220388021298</v>
      </c>
      <c r="L113" s="305">
        <v>3.4055447350256101</v>
      </c>
      <c r="M113" s="305">
        <v>3.9911220388021298</v>
      </c>
      <c r="N113" s="305">
        <v>3.69833359553013</v>
      </c>
      <c r="O113" s="305">
        <v>5.2695237813476865</v>
      </c>
      <c r="P113" s="305">
        <v>5.7826738929639196</v>
      </c>
      <c r="Q113" s="305">
        <v>5.2695240095486611</v>
      </c>
      <c r="R113" s="305">
        <v>5.7826738857708451</v>
      </c>
      <c r="S113" s="305">
        <v>5.5260988924077754</v>
      </c>
      <c r="T113" s="305">
        <v>3.6722595132975222</v>
      </c>
      <c r="U113" s="305">
        <v>3.6722591131680744</v>
      </c>
      <c r="V113" s="305">
        <v>3.6722586740062217</v>
      </c>
      <c r="W113" s="305">
        <v>3.6722591977495171</v>
      </c>
      <c r="X113" s="305">
        <v>3.672259124555334</v>
      </c>
    </row>
    <row r="114" spans="1:24" x14ac:dyDescent="0.35">
      <c r="A114" s="24" t="s">
        <v>375</v>
      </c>
      <c r="B114" s="24" t="s">
        <v>378</v>
      </c>
      <c r="C114" s="24" t="s">
        <v>379</v>
      </c>
      <c r="D114" s="377">
        <v>30</v>
      </c>
      <c r="E114" s="305">
        <v>2.6328888716309375</v>
      </c>
      <c r="F114" s="305">
        <v>3.0478343781886363</v>
      </c>
      <c r="G114" s="305">
        <v>2.6328888716101031</v>
      </c>
      <c r="H114" s="305">
        <v>3.0478341942702833</v>
      </c>
      <c r="I114" s="305">
        <v>2.8403615789249907</v>
      </c>
      <c r="J114" s="305">
        <v>3.1803862478118301</v>
      </c>
      <c r="K114" s="305">
        <v>3.7260156769771098</v>
      </c>
      <c r="L114" s="305">
        <v>3.1803862478118301</v>
      </c>
      <c r="M114" s="305">
        <v>3.7260144252795699</v>
      </c>
      <c r="N114" s="305">
        <v>3.45320064947009</v>
      </c>
      <c r="O114" s="305">
        <v>5.1875449003773459</v>
      </c>
      <c r="P114" s="305">
        <v>5.7544836619120954</v>
      </c>
      <c r="Q114" s="305">
        <v>5.1875449061699079</v>
      </c>
      <c r="R114" s="305">
        <v>5.7544830025912432</v>
      </c>
      <c r="S114" s="305">
        <v>5.4710141177626452</v>
      </c>
      <c r="T114" s="305">
        <v>3.3123569192499906</v>
      </c>
      <c r="U114" s="305">
        <v>3.3123568657376432</v>
      </c>
      <c r="V114" s="305">
        <v>3.3123567921047687</v>
      </c>
      <c r="W114" s="305">
        <v>3.3123568172603028</v>
      </c>
      <c r="X114" s="305">
        <v>3.3123568485881756</v>
      </c>
    </row>
    <row r="115" spans="1:24" x14ac:dyDescent="0.35">
      <c r="A115" s="24" t="s">
        <v>375</v>
      </c>
      <c r="B115" s="24" t="s">
        <v>378</v>
      </c>
      <c r="C115" s="24" t="s">
        <v>379</v>
      </c>
      <c r="D115" s="377">
        <v>35</v>
      </c>
      <c r="E115" s="305">
        <v>2.4298392700927378</v>
      </c>
      <c r="F115" s="305">
        <v>2.7328124636577198</v>
      </c>
      <c r="G115" s="305">
        <v>2.4298392709727108</v>
      </c>
      <c r="H115" s="305">
        <v>2.7201361813377813</v>
      </c>
      <c r="I115" s="305">
        <v>2.5781567965152412</v>
      </c>
      <c r="J115" s="305">
        <v>3.0008659770246502</v>
      </c>
      <c r="K115" s="305">
        <v>3.3861168278381202</v>
      </c>
      <c r="L115" s="305">
        <v>3.0008655597921399</v>
      </c>
      <c r="M115" s="305">
        <v>3.36891203862614</v>
      </c>
      <c r="N115" s="305">
        <v>3.1891901008202601</v>
      </c>
      <c r="O115" s="305">
        <v>5.1351602090069051</v>
      </c>
      <c r="P115" s="305">
        <v>5.7488564444386938</v>
      </c>
      <c r="Q115" s="305">
        <v>5.1351601988515787</v>
      </c>
      <c r="R115" s="305">
        <v>5.7488553455305853</v>
      </c>
      <c r="S115" s="305">
        <v>5.4420080494569403</v>
      </c>
      <c r="T115" s="305">
        <v>2.8112595403690048</v>
      </c>
      <c r="U115" s="305">
        <v>2.8112595402363509</v>
      </c>
      <c r="V115" s="305">
        <v>2.8112595393276969</v>
      </c>
      <c r="W115" s="305">
        <v>2.8112595361894068</v>
      </c>
      <c r="X115" s="305">
        <v>2.8112595390306172</v>
      </c>
    </row>
    <row r="116" spans="1:24" x14ac:dyDescent="0.35">
      <c r="A116" s="24" t="s">
        <v>375</v>
      </c>
      <c r="B116" s="24" t="s">
        <v>378</v>
      </c>
      <c r="C116" s="24" t="s">
        <v>379</v>
      </c>
      <c r="D116" s="377">
        <v>40</v>
      </c>
      <c r="E116" s="305">
        <v>2.2718665318746236</v>
      </c>
      <c r="F116" s="305">
        <v>2.4513997647555303</v>
      </c>
      <c r="G116" s="305">
        <v>2.2718665110365692</v>
      </c>
      <c r="H116" s="305">
        <v>2.4263599047468896</v>
      </c>
      <c r="I116" s="305">
        <v>2.3553731781033989</v>
      </c>
      <c r="J116" s="305">
        <v>2.8644022598164098</v>
      </c>
      <c r="K116" s="305">
        <v>3.0944516002200499</v>
      </c>
      <c r="L116" s="305">
        <v>2.8644022598164098</v>
      </c>
      <c r="M116" s="305">
        <v>3.0604715546360199</v>
      </c>
      <c r="N116" s="305">
        <v>2.9709319186222198</v>
      </c>
      <c r="O116" s="305">
        <v>5.2831035348757576</v>
      </c>
      <c r="P116" s="305">
        <v>5.7956553001262439</v>
      </c>
      <c r="Q116" s="305">
        <v>5.2831033908930989</v>
      </c>
      <c r="R116" s="305">
        <v>5.7956540625618604</v>
      </c>
      <c r="S116" s="305">
        <v>5.5393790721142446</v>
      </c>
      <c r="T116" s="305">
        <v>2.5779351143856917</v>
      </c>
      <c r="U116" s="305">
        <v>2.5779351145990947</v>
      </c>
      <c r="V116" s="305">
        <v>2.5779351292928205</v>
      </c>
      <c r="W116" s="305">
        <v>2.577935114655836</v>
      </c>
      <c r="X116" s="305">
        <v>2.5779351182333614</v>
      </c>
    </row>
    <row r="117" spans="1:24" x14ac:dyDescent="0.35">
      <c r="A117" s="24" t="s">
        <v>375</v>
      </c>
      <c r="B117" s="24" t="s">
        <v>378</v>
      </c>
      <c r="C117" s="24" t="s">
        <v>379</v>
      </c>
      <c r="D117" s="377">
        <v>45</v>
      </c>
      <c r="E117" s="305">
        <v>2.1490031950177038</v>
      </c>
      <c r="F117" s="305">
        <v>2.2325180771017044</v>
      </c>
      <c r="G117" s="305">
        <v>2.1490032563377102</v>
      </c>
      <c r="H117" s="305">
        <v>2.2364432199598556</v>
      </c>
      <c r="I117" s="305">
        <v>2.1917419371042417</v>
      </c>
      <c r="J117" s="305">
        <v>2.7582670781994199</v>
      </c>
      <c r="K117" s="305">
        <v>2.8675986680464098</v>
      </c>
      <c r="L117" s="305">
        <v>2.7582674954319302</v>
      </c>
      <c r="M117" s="305">
        <v>2.8553474618820398</v>
      </c>
      <c r="N117" s="305">
        <v>2.8098701758899498</v>
      </c>
      <c r="O117" s="305">
        <v>5.4228212208161422</v>
      </c>
      <c r="P117" s="305">
        <v>5.8388773362329589</v>
      </c>
      <c r="Q117" s="305">
        <v>5.4228212098403104</v>
      </c>
      <c r="R117" s="305">
        <v>5.8388774583744691</v>
      </c>
      <c r="S117" s="305">
        <v>5.6308493063159704</v>
      </c>
      <c r="T117" s="305">
        <v>2.3960490589814056</v>
      </c>
      <c r="U117" s="305">
        <v>2.3960490410607491</v>
      </c>
      <c r="V117" s="305">
        <v>2.3960490472698086</v>
      </c>
      <c r="W117" s="305">
        <v>2.396049047027824</v>
      </c>
      <c r="X117" s="305">
        <v>2.3960490485849424</v>
      </c>
    </row>
    <row r="118" spans="1:24" x14ac:dyDescent="0.35">
      <c r="A118" s="24" t="s">
        <v>375</v>
      </c>
      <c r="B118" s="24" t="s">
        <v>378</v>
      </c>
      <c r="C118" s="24" t="s">
        <v>379</v>
      </c>
      <c r="D118" s="377">
        <v>50</v>
      </c>
      <c r="E118" s="305">
        <v>2.0771244586199238</v>
      </c>
      <c r="F118" s="305">
        <v>2.0944000485109555</v>
      </c>
      <c r="G118" s="305">
        <v>2.0771244583833179</v>
      </c>
      <c r="H118" s="305">
        <v>2.1498937829910516</v>
      </c>
      <c r="I118" s="305">
        <v>2.0996356871263178</v>
      </c>
      <c r="J118" s="305">
        <v>2.7135758400739398</v>
      </c>
      <c r="K118" s="305">
        <v>2.7293456060093901</v>
      </c>
      <c r="L118" s="305">
        <v>2.7135758396567899</v>
      </c>
      <c r="M118" s="305">
        <v>2.75020824221428</v>
      </c>
      <c r="N118" s="305">
        <v>2.7266763819886002</v>
      </c>
      <c r="O118" s="305">
        <v>5.7342579271981755</v>
      </c>
      <c r="P118" s="305">
        <v>5.9286854357656207</v>
      </c>
      <c r="Q118" s="305">
        <v>5.7342580565134069</v>
      </c>
      <c r="R118" s="305">
        <v>5.928686668917118</v>
      </c>
      <c r="S118" s="305">
        <v>5.8314720220985841</v>
      </c>
      <c r="T118" s="305">
        <v>2.217684179283812</v>
      </c>
      <c r="U118" s="305">
        <v>2.217684143236156</v>
      </c>
      <c r="V118" s="305">
        <v>2.2176841659073965</v>
      </c>
      <c r="W118" s="305">
        <v>2.2176841640504699</v>
      </c>
      <c r="X118" s="305">
        <v>2.2176841631194577</v>
      </c>
    </row>
    <row r="119" spans="1:24" x14ac:dyDescent="0.35">
      <c r="A119" s="24" t="s">
        <v>375</v>
      </c>
      <c r="B119" s="24" t="s">
        <v>378</v>
      </c>
      <c r="C119" s="24" t="s">
        <v>379</v>
      </c>
      <c r="D119" s="377">
        <v>55</v>
      </c>
      <c r="E119" s="305">
        <v>2.0253499037050133</v>
      </c>
      <c r="F119" s="305">
        <v>2.1289776710309098</v>
      </c>
      <c r="G119" s="305">
        <v>2.0253491107286772</v>
      </c>
      <c r="H119" s="305">
        <v>2.1239627585137439</v>
      </c>
      <c r="I119" s="305">
        <v>2.0759098609945874</v>
      </c>
      <c r="J119" s="305">
        <v>2.6877111339078201</v>
      </c>
      <c r="K119" s="305">
        <v>2.7887225538724998</v>
      </c>
      <c r="L119" s="305">
        <v>2.68771029861818</v>
      </c>
      <c r="M119" s="305">
        <v>2.7390447516227101</v>
      </c>
      <c r="N119" s="305">
        <v>2.7257971845053</v>
      </c>
      <c r="O119" s="305">
        <v>5.989072410606429</v>
      </c>
      <c r="P119" s="305">
        <v>6.0021665881646671</v>
      </c>
      <c r="Q119" s="305">
        <v>5.9890723306792033</v>
      </c>
      <c r="R119" s="305">
        <v>6.0021660234441994</v>
      </c>
      <c r="S119" s="305">
        <v>5.9956193382236256</v>
      </c>
      <c r="T119" s="305">
        <v>2.0648991471460549</v>
      </c>
      <c r="U119" s="305">
        <v>2.0648989868701935</v>
      </c>
      <c r="V119" s="305">
        <v>2.0648983711061839</v>
      </c>
      <c r="W119" s="305">
        <v>2.0648988331078573</v>
      </c>
      <c r="X119" s="305">
        <v>2.0648988345575745</v>
      </c>
    </row>
    <row r="120" spans="1:24" x14ac:dyDescent="0.35">
      <c r="A120" s="24" t="s">
        <v>375</v>
      </c>
      <c r="B120" s="24" t="s">
        <v>378</v>
      </c>
      <c r="C120" s="24" t="s">
        <v>379</v>
      </c>
      <c r="D120" s="377">
        <v>60</v>
      </c>
      <c r="E120" s="305">
        <v>2.0010871349483725</v>
      </c>
      <c r="F120" s="305">
        <v>2.1834501319982884</v>
      </c>
      <c r="G120" s="305">
        <v>2.0010870734627995</v>
      </c>
      <c r="H120" s="305">
        <v>2.1783069068970766</v>
      </c>
      <c r="I120" s="305">
        <v>2.0909828118266343</v>
      </c>
      <c r="J120" s="305">
        <v>2.6923636287683599</v>
      </c>
      <c r="K120" s="305">
        <v>2.8600753832289056</v>
      </c>
      <c r="L120" s="305">
        <v>2.6923632115358398</v>
      </c>
      <c r="M120" s="305">
        <v>2.809126514503963</v>
      </c>
      <c r="N120" s="305">
        <v>2.7634821845092672</v>
      </c>
      <c r="O120" s="305">
        <v>6.454930045003759</v>
      </c>
      <c r="P120" s="305">
        <v>5.8034162071570581</v>
      </c>
      <c r="Q120" s="305">
        <v>6.4549304578158466</v>
      </c>
      <c r="R120" s="305">
        <v>5.8034156611362393</v>
      </c>
      <c r="S120" s="305">
        <v>6.1291730927782249</v>
      </c>
      <c r="T120" s="305">
        <v>2.0177911318718214</v>
      </c>
      <c r="U120" s="305">
        <v>1.9965237669634488</v>
      </c>
      <c r="V120" s="305">
        <v>2.0177910604516534</v>
      </c>
      <c r="W120" s="305">
        <v>1.9965236182926607</v>
      </c>
      <c r="X120" s="305">
        <v>2.0071573943948962</v>
      </c>
    </row>
    <row r="121" spans="1:24" x14ac:dyDescent="0.35">
      <c r="A121" s="24" t="s">
        <v>375</v>
      </c>
      <c r="B121" s="24" t="s">
        <v>378</v>
      </c>
      <c r="C121" s="24" t="s">
        <v>379</v>
      </c>
      <c r="D121" s="377">
        <v>65</v>
      </c>
      <c r="E121" s="305">
        <v>2.1038739360217984</v>
      </c>
      <c r="F121" s="305">
        <v>2.2758341520757197</v>
      </c>
      <c r="G121" s="305">
        <v>2.1038739360217984</v>
      </c>
      <c r="H121" s="305">
        <v>2.270473311832284</v>
      </c>
      <c r="I121" s="305">
        <v>2.1885138339879</v>
      </c>
      <c r="J121" s="305">
        <v>2.8579394207336</v>
      </c>
      <c r="K121" s="305">
        <v>2.9810881133824307</v>
      </c>
      <c r="L121" s="305">
        <v>2.8579394207336</v>
      </c>
      <c r="M121" s="305">
        <v>2.9279835456368275</v>
      </c>
      <c r="N121" s="305">
        <v>2.9062376251216149</v>
      </c>
      <c r="O121" s="305">
        <v>9.1436241434772523</v>
      </c>
      <c r="P121" s="305">
        <v>5.7286743415738632</v>
      </c>
      <c r="Q121" s="305">
        <v>9.1436175543948153</v>
      </c>
      <c r="R121" s="305">
        <v>5.7286738025852149</v>
      </c>
      <c r="S121" s="305">
        <v>7.4361474605077866</v>
      </c>
      <c r="T121" s="305">
        <v>2.0892193641965657</v>
      </c>
      <c r="U121" s="305">
        <v>1.9708106514988011</v>
      </c>
      <c r="V121" s="305">
        <v>2.0892193623365549</v>
      </c>
      <c r="W121" s="305">
        <v>1.9708105047427356</v>
      </c>
      <c r="X121" s="305">
        <v>2.0300149706936641</v>
      </c>
    </row>
    <row r="122" spans="1:24" x14ac:dyDescent="0.35">
      <c r="A122" s="24" t="s">
        <v>375</v>
      </c>
      <c r="B122" s="24" t="s">
        <v>378</v>
      </c>
      <c r="C122" s="24" t="s">
        <v>379</v>
      </c>
      <c r="D122" s="377">
        <v>70</v>
      </c>
      <c r="E122" s="305">
        <v>2.5172472796208343</v>
      </c>
      <c r="F122" s="305">
        <v>2.4712477770391059</v>
      </c>
      <c r="G122" s="305">
        <v>2.5172472795595251</v>
      </c>
      <c r="H122" s="305">
        <v>2.4654266303081074</v>
      </c>
      <c r="I122" s="305">
        <v>2.4927922416318933</v>
      </c>
      <c r="J122" s="305">
        <v>3.4460470631020099</v>
      </c>
      <c r="K122" s="305">
        <v>3.2370580987348347</v>
      </c>
      <c r="L122" s="305">
        <v>3.4460470626848498</v>
      </c>
      <c r="M122" s="305">
        <v>3.179393727685544</v>
      </c>
      <c r="N122" s="305">
        <v>3.3271364880518099</v>
      </c>
      <c r="O122" s="305">
        <v>11.631827879506151</v>
      </c>
      <c r="P122" s="305">
        <v>5.6645960465045757</v>
      </c>
      <c r="Q122" s="305">
        <v>11.631827503455138</v>
      </c>
      <c r="R122" s="305">
        <v>5.6645955135448043</v>
      </c>
      <c r="S122" s="305">
        <v>8.6482117357526676</v>
      </c>
      <c r="T122" s="305">
        <v>2.1558944475297488</v>
      </c>
      <c r="U122" s="305">
        <v>1.9487660773228954</v>
      </c>
      <c r="V122" s="305">
        <v>2.1558944692355748</v>
      </c>
      <c r="W122" s="305">
        <v>1.9487659322083752</v>
      </c>
      <c r="X122" s="305">
        <v>2.0523302315741487</v>
      </c>
    </row>
    <row r="123" spans="1:24" x14ac:dyDescent="0.35">
      <c r="A123" s="24" t="s">
        <v>375</v>
      </c>
      <c r="B123" s="24" t="s">
        <v>378</v>
      </c>
      <c r="C123" s="24" t="s">
        <v>379</v>
      </c>
      <c r="D123" s="377">
        <v>75</v>
      </c>
      <c r="E123" s="305">
        <v>3.3306229669604894</v>
      </c>
      <c r="F123" s="305">
        <v>3.199223154286801</v>
      </c>
      <c r="G123" s="305">
        <v>3.3306229668793699</v>
      </c>
      <c r="H123" s="305">
        <v>3.191687225441727</v>
      </c>
      <c r="I123" s="305">
        <v>3.2630390783920968</v>
      </c>
      <c r="J123" s="305">
        <v>4.5595375498123953</v>
      </c>
      <c r="K123" s="305">
        <v>4.1906243952810307</v>
      </c>
      <c r="L123" s="305">
        <v>4.5595375492604422</v>
      </c>
      <c r="M123" s="305">
        <v>4.1159733656463935</v>
      </c>
      <c r="N123" s="305">
        <v>4.3564182150000654</v>
      </c>
      <c r="O123" s="305">
        <v>11.081228557460403</v>
      </c>
      <c r="P123" s="305">
        <v>5.3964599415557357</v>
      </c>
      <c r="Q123" s="305">
        <v>11.081228199209981</v>
      </c>
      <c r="R123" s="305">
        <v>5.3964594338238463</v>
      </c>
      <c r="S123" s="305">
        <v>8.2388440330124908</v>
      </c>
      <c r="T123" s="305">
        <v>2.0538439328979532</v>
      </c>
      <c r="U123" s="305">
        <v>1.8565203918159419</v>
      </c>
      <c r="V123" s="305">
        <v>2.0538439535763211</v>
      </c>
      <c r="W123" s="305">
        <v>1.8565202535704803</v>
      </c>
      <c r="X123" s="305">
        <v>1.9551821329651742</v>
      </c>
    </row>
  </sheetData>
  <autoFilter ref="A1:X123" xr:uid="{00000000-0001-0000-0B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0">
    <mergeCell ref="AR2:AV2"/>
    <mergeCell ref="A1:X1"/>
    <mergeCell ref="AM2:AQ2"/>
    <mergeCell ref="Z1:AV1"/>
    <mergeCell ref="J2:N2"/>
    <mergeCell ref="E2:I2"/>
    <mergeCell ref="O2:S2"/>
    <mergeCell ref="T2:X2"/>
    <mergeCell ref="AC2:AG2"/>
    <mergeCell ref="AH2:AL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AV123"/>
  <sheetViews>
    <sheetView zoomScale="75" zoomScaleNormal="75" workbookViewId="0">
      <pane ySplit="4" topLeftCell="A5" activePane="bottomLeft" state="frozenSplit"/>
      <selection activeCell="S43" sqref="S43"/>
      <selection pane="bottomLeft" activeCell="Z2" sqref="Z2"/>
    </sheetView>
  </sheetViews>
  <sheetFormatPr defaultColWidth="9.08984375" defaultRowHeight="14.5" x14ac:dyDescent="0.35"/>
  <cols>
    <col min="1" max="1" width="13.453125" bestFit="1" customWidth="1"/>
    <col min="2" max="2" width="13.453125" customWidth="1"/>
    <col min="4" max="4" width="12.54296875" bestFit="1" customWidth="1"/>
    <col min="5" max="8" width="11" bestFit="1" customWidth="1"/>
    <col min="9" max="9" width="11.90625" bestFit="1" customWidth="1"/>
    <col min="10" max="14" width="11.54296875" customWidth="1"/>
    <col min="15" max="18" width="11" bestFit="1" customWidth="1"/>
    <col min="19" max="19" width="11.90625" bestFit="1" customWidth="1"/>
    <col min="20" max="23" width="11" bestFit="1" customWidth="1"/>
    <col min="24" max="24" width="11.90625" bestFit="1" customWidth="1"/>
    <col min="26" max="26" width="12.54296875" customWidth="1"/>
  </cols>
  <sheetData>
    <row r="1" spans="1:48" x14ac:dyDescent="0.35">
      <c r="A1" s="468" t="s">
        <v>487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Z1" s="467" t="s">
        <v>508</v>
      </c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7"/>
      <c r="AS1" s="467"/>
      <c r="AT1" s="467"/>
      <c r="AU1" s="467"/>
      <c r="AV1" s="467"/>
    </row>
    <row r="2" spans="1:48" x14ac:dyDescent="0.35">
      <c r="A2" s="372"/>
      <c r="B2" s="372"/>
      <c r="C2" s="372"/>
      <c r="D2" s="372"/>
      <c r="E2" s="468" t="s">
        <v>92</v>
      </c>
      <c r="F2" s="468"/>
      <c r="G2" s="468"/>
      <c r="H2" s="468"/>
      <c r="I2" s="468"/>
      <c r="J2" s="468" t="s">
        <v>381</v>
      </c>
      <c r="K2" s="468"/>
      <c r="L2" s="468"/>
      <c r="M2" s="468"/>
      <c r="N2" s="468"/>
      <c r="O2" s="468" t="s">
        <v>91</v>
      </c>
      <c r="P2" s="468"/>
      <c r="Q2" s="468"/>
      <c r="R2" s="468"/>
      <c r="S2" s="468"/>
      <c r="T2" s="468" t="s">
        <v>93</v>
      </c>
      <c r="U2" s="468"/>
      <c r="V2" s="468"/>
      <c r="W2" s="468"/>
      <c r="X2" s="468"/>
      <c r="Z2" s="373"/>
      <c r="AA2" s="373"/>
      <c r="AB2" s="373"/>
      <c r="AC2" s="467" t="s">
        <v>92</v>
      </c>
      <c r="AD2" s="467"/>
      <c r="AE2" s="467"/>
      <c r="AF2" s="467"/>
      <c r="AG2" s="467"/>
      <c r="AH2" s="467" t="s">
        <v>381</v>
      </c>
      <c r="AI2" s="467"/>
      <c r="AJ2" s="467"/>
      <c r="AK2" s="467"/>
      <c r="AL2" s="467"/>
      <c r="AM2" s="467" t="s">
        <v>91</v>
      </c>
      <c r="AN2" s="467"/>
      <c r="AO2" s="467"/>
      <c r="AP2" s="467"/>
      <c r="AQ2" s="467"/>
      <c r="AR2" s="467" t="s">
        <v>93</v>
      </c>
      <c r="AS2" s="467"/>
      <c r="AT2" s="467"/>
      <c r="AU2" s="467"/>
      <c r="AV2" s="467"/>
    </row>
    <row r="3" spans="1:48" x14ac:dyDescent="0.35">
      <c r="A3" s="372" t="s">
        <v>94</v>
      </c>
      <c r="B3" s="372" t="s">
        <v>95</v>
      </c>
      <c r="C3" s="372" t="s">
        <v>96</v>
      </c>
      <c r="D3" s="372" t="s">
        <v>97</v>
      </c>
      <c r="E3" s="372">
        <v>2</v>
      </c>
      <c r="F3" s="372">
        <v>3</v>
      </c>
      <c r="G3" s="372">
        <v>4</v>
      </c>
      <c r="H3" s="372">
        <v>5</v>
      </c>
      <c r="I3" s="372" t="s">
        <v>98</v>
      </c>
      <c r="J3" s="372">
        <v>2</v>
      </c>
      <c r="K3" s="372">
        <v>3</v>
      </c>
      <c r="L3" s="372">
        <v>4</v>
      </c>
      <c r="M3" s="372">
        <v>5</v>
      </c>
      <c r="N3" s="372" t="s">
        <v>98</v>
      </c>
      <c r="O3" s="372">
        <v>2</v>
      </c>
      <c r="P3" s="372">
        <v>3</v>
      </c>
      <c r="Q3" s="372">
        <v>4</v>
      </c>
      <c r="R3" s="372">
        <v>5</v>
      </c>
      <c r="S3" s="372" t="s">
        <v>98</v>
      </c>
      <c r="T3" s="372">
        <v>2</v>
      </c>
      <c r="U3" s="372">
        <v>3</v>
      </c>
      <c r="V3" s="372">
        <v>4</v>
      </c>
      <c r="W3" s="372">
        <v>5</v>
      </c>
      <c r="X3" s="372" t="s">
        <v>98</v>
      </c>
      <c r="Z3" s="373" t="s">
        <v>94</v>
      </c>
      <c r="AA3" s="373" t="s">
        <v>95</v>
      </c>
      <c r="AB3" s="373" t="s">
        <v>96</v>
      </c>
      <c r="AC3" s="373">
        <v>2</v>
      </c>
      <c r="AD3" s="373">
        <v>3</v>
      </c>
      <c r="AE3" s="373">
        <v>4</v>
      </c>
      <c r="AF3" s="373">
        <v>5</v>
      </c>
      <c r="AG3" s="373" t="s">
        <v>98</v>
      </c>
      <c r="AH3" s="373">
        <v>2</v>
      </c>
      <c r="AI3" s="373">
        <v>3</v>
      </c>
      <c r="AJ3" s="373">
        <v>4</v>
      </c>
      <c r="AK3" s="373">
        <v>5</v>
      </c>
      <c r="AL3" s="373" t="s">
        <v>98</v>
      </c>
      <c r="AM3" s="373">
        <v>2</v>
      </c>
      <c r="AN3" s="373">
        <v>3</v>
      </c>
      <c r="AO3" s="373">
        <v>4</v>
      </c>
      <c r="AP3" s="373">
        <v>5</v>
      </c>
      <c r="AQ3" s="373" t="s">
        <v>98</v>
      </c>
      <c r="AR3" s="373">
        <v>2</v>
      </c>
      <c r="AS3" s="373">
        <v>3</v>
      </c>
      <c r="AT3" s="373">
        <v>4</v>
      </c>
      <c r="AU3" s="373">
        <v>5</v>
      </c>
      <c r="AV3" s="373" t="s">
        <v>98</v>
      </c>
    </row>
    <row r="4" spans="1:48" x14ac:dyDescent="0.35">
      <c r="A4" s="372" t="s">
        <v>444</v>
      </c>
      <c r="B4" s="372" t="s">
        <v>99</v>
      </c>
      <c r="C4" s="372" t="s">
        <v>445</v>
      </c>
      <c r="D4" s="372" t="s">
        <v>376</v>
      </c>
      <c r="E4" s="372" t="s">
        <v>446</v>
      </c>
      <c r="F4" s="372" t="s">
        <v>447</v>
      </c>
      <c r="G4" s="372" t="s">
        <v>450</v>
      </c>
      <c r="H4" s="372" t="s">
        <v>448</v>
      </c>
      <c r="I4" s="372" t="s">
        <v>449</v>
      </c>
      <c r="J4" s="372" t="s">
        <v>446</v>
      </c>
      <c r="K4" s="372" t="s">
        <v>447</v>
      </c>
      <c r="L4" s="372" t="s">
        <v>450</v>
      </c>
      <c r="M4" s="372" t="s">
        <v>448</v>
      </c>
      <c r="N4" s="372" t="s">
        <v>449</v>
      </c>
      <c r="O4" s="372" t="s">
        <v>446</v>
      </c>
      <c r="P4" s="372" t="s">
        <v>447</v>
      </c>
      <c r="Q4" s="372" t="s">
        <v>450</v>
      </c>
      <c r="R4" s="372" t="s">
        <v>448</v>
      </c>
      <c r="S4" s="372" t="s">
        <v>449</v>
      </c>
      <c r="T4" s="372" t="s">
        <v>446</v>
      </c>
      <c r="U4" s="372" t="s">
        <v>447</v>
      </c>
      <c r="V4" s="372" t="s">
        <v>450</v>
      </c>
      <c r="W4" s="372" t="s">
        <v>448</v>
      </c>
      <c r="X4" s="372" t="s">
        <v>449</v>
      </c>
      <c r="Z4" s="24" t="s">
        <v>375</v>
      </c>
      <c r="AA4" s="24" t="s">
        <v>99</v>
      </c>
      <c r="AB4" s="24" t="s">
        <v>100</v>
      </c>
      <c r="AC4" s="308">
        <v>1584.4391318733667</v>
      </c>
      <c r="AD4" s="308">
        <v>1584.4391318733667</v>
      </c>
      <c r="AE4" s="308">
        <v>1584.4391318733667</v>
      </c>
      <c r="AF4" s="308">
        <v>1584.4391318733667</v>
      </c>
      <c r="AG4" s="308">
        <v>1584.4391318733667</v>
      </c>
      <c r="AH4" s="308">
        <v>2325.7404073079401</v>
      </c>
      <c r="AI4" s="308">
        <v>2325.7404073079401</v>
      </c>
      <c r="AJ4" s="308">
        <v>2325.7404073079401</v>
      </c>
      <c r="AK4" s="308">
        <v>2325.7404073079401</v>
      </c>
      <c r="AL4" s="308">
        <v>2325.7404073079401</v>
      </c>
      <c r="AM4" s="308">
        <v>5746.074518483153</v>
      </c>
      <c r="AN4" s="308">
        <v>5746.074518483153</v>
      </c>
      <c r="AO4" s="308">
        <v>5746.074518483153</v>
      </c>
      <c r="AP4" s="308">
        <v>5746.074518483153</v>
      </c>
      <c r="AQ4" s="308">
        <v>5746.074518483153</v>
      </c>
      <c r="AR4" s="308">
        <v>5692.2295063884858</v>
      </c>
      <c r="AS4" s="308">
        <v>5692.2295063884858</v>
      </c>
      <c r="AT4" s="308">
        <v>5692.2295063884858</v>
      </c>
      <c r="AU4" s="308">
        <v>5692.2295063884858</v>
      </c>
      <c r="AV4" s="308">
        <v>5692.2295063884858</v>
      </c>
    </row>
    <row r="5" spans="1:48" x14ac:dyDescent="0.35">
      <c r="A5" s="24" t="s">
        <v>375</v>
      </c>
      <c r="B5" s="24" t="s">
        <v>99</v>
      </c>
      <c r="C5" s="376" t="s">
        <v>100</v>
      </c>
      <c r="D5" s="374" t="s">
        <v>376</v>
      </c>
      <c r="E5" s="374">
        <v>151.17032725873023</v>
      </c>
      <c r="F5" s="374">
        <v>160.33978173867192</v>
      </c>
      <c r="G5" s="374">
        <v>149.51498233664887</v>
      </c>
      <c r="H5" s="374">
        <v>177.63713134480878</v>
      </c>
      <c r="I5" s="374">
        <v>160.82421620503999</v>
      </c>
      <c r="J5" s="374">
        <v>233.54737624549239</v>
      </c>
      <c r="K5" s="374">
        <v>240.68152495390538</v>
      </c>
      <c r="L5" s="374">
        <v>227.4879717971896</v>
      </c>
      <c r="M5" s="374">
        <v>263.7621639426788</v>
      </c>
      <c r="N5" s="374">
        <v>240.97930787474459</v>
      </c>
      <c r="O5" s="374">
        <v>1004.4326423686209</v>
      </c>
      <c r="P5" s="374">
        <v>1035.6287435257634</v>
      </c>
      <c r="Q5" s="374">
        <v>939.11235654672066</v>
      </c>
      <c r="R5" s="374">
        <v>1174.5911476894687</v>
      </c>
      <c r="S5" s="374">
        <v>1019.5561889514455</v>
      </c>
      <c r="T5" s="374">
        <v>1184.8685899272455</v>
      </c>
      <c r="U5" s="374">
        <v>1236.6551145271196</v>
      </c>
      <c r="V5" s="374">
        <v>1131.8755632397465</v>
      </c>
      <c r="W5" s="374">
        <v>1444.7628077852382</v>
      </c>
      <c r="X5" s="374">
        <v>1241.3656665571707</v>
      </c>
      <c r="Z5" s="24" t="s">
        <v>375</v>
      </c>
      <c r="AA5" s="24" t="s">
        <v>99</v>
      </c>
      <c r="AB5" s="24" t="s">
        <v>101</v>
      </c>
      <c r="AC5" s="305">
        <v>5.6449742193203645E-2</v>
      </c>
      <c r="AD5" s="305">
        <v>5.6449742193203645E-2</v>
      </c>
      <c r="AE5" s="305">
        <v>5.6449742193203645E-2</v>
      </c>
      <c r="AF5" s="305">
        <v>5.6449742193203645E-2</v>
      </c>
      <c r="AG5" s="305">
        <v>5.6449742193203645E-2</v>
      </c>
      <c r="AH5" s="305">
        <v>0.14428833313286299</v>
      </c>
      <c r="AI5" s="305">
        <v>0.14428833313286299</v>
      </c>
      <c r="AJ5" s="305">
        <v>0.14428833313286299</v>
      </c>
      <c r="AK5" s="305">
        <v>0.14428833313286299</v>
      </c>
      <c r="AL5" s="305">
        <v>0.14428833313286299</v>
      </c>
      <c r="AM5" s="305">
        <v>16.817074387594886</v>
      </c>
      <c r="AN5" s="305">
        <v>16.817074387594886</v>
      </c>
      <c r="AO5" s="305">
        <v>16.817074387594886</v>
      </c>
      <c r="AP5" s="305">
        <v>16.817074387594886</v>
      </c>
      <c r="AQ5" s="305">
        <v>16.817074387594886</v>
      </c>
      <c r="AR5" s="305">
        <v>20.643076991488432</v>
      </c>
      <c r="AS5" s="305">
        <v>20.643076991488432</v>
      </c>
      <c r="AT5" s="305">
        <v>20.643076991488432</v>
      </c>
      <c r="AU5" s="305">
        <v>20.643076991488432</v>
      </c>
      <c r="AV5" s="305">
        <v>20.643076991488432</v>
      </c>
    </row>
    <row r="6" spans="1:48" x14ac:dyDescent="0.35">
      <c r="A6" s="24" t="s">
        <v>375</v>
      </c>
      <c r="B6" s="377" t="s">
        <v>99</v>
      </c>
      <c r="C6" s="376" t="s">
        <v>100</v>
      </c>
      <c r="D6" s="377">
        <v>2.5</v>
      </c>
      <c r="E6" s="308">
        <v>949.22590938467249</v>
      </c>
      <c r="F6" s="308">
        <v>919.54797523470711</v>
      </c>
      <c r="G6" s="308">
        <v>927.8160394152884</v>
      </c>
      <c r="H6" s="308">
        <v>927.81613745000891</v>
      </c>
      <c r="I6" s="308">
        <v>931.10151537116917</v>
      </c>
      <c r="J6" s="308">
        <v>1392.9487386405879</v>
      </c>
      <c r="K6" s="308">
        <v>1350.7253136430015</v>
      </c>
      <c r="L6" s="308">
        <v>1338.8570800289101</v>
      </c>
      <c r="M6" s="308">
        <v>1338.8570800281</v>
      </c>
      <c r="N6" s="308">
        <v>1355.34705308515</v>
      </c>
      <c r="O6" s="308">
        <v>5544.6966727877898</v>
      </c>
      <c r="P6" s="308">
        <v>7106.7602967717467</v>
      </c>
      <c r="Q6" s="308">
        <v>4805.615478668441</v>
      </c>
      <c r="R6" s="308">
        <v>4611.6197228698466</v>
      </c>
      <c r="S6" s="308">
        <v>5517.173042774456</v>
      </c>
      <c r="T6" s="308">
        <v>6630.3224383055122</v>
      </c>
      <c r="U6" s="308">
        <v>6476.2401697684409</v>
      </c>
      <c r="V6" s="308">
        <v>5184.4654115781295</v>
      </c>
      <c r="W6" s="308">
        <v>5163.404833702326</v>
      </c>
      <c r="X6" s="308">
        <v>5863.6082133386026</v>
      </c>
      <c r="Z6" s="24" t="s">
        <v>375</v>
      </c>
      <c r="AA6" s="24" t="s">
        <v>99</v>
      </c>
      <c r="AB6" s="24" t="s">
        <v>102</v>
      </c>
      <c r="AC6" s="305">
        <v>1.158981896190199E-2</v>
      </c>
      <c r="AD6" s="305">
        <v>1.158981896190199E-2</v>
      </c>
      <c r="AE6" s="305">
        <v>1.158981896190199E-2</v>
      </c>
      <c r="AF6" s="305">
        <v>1.158981896190199E-2</v>
      </c>
      <c r="AG6" s="305">
        <v>1.158981896190199E-2</v>
      </c>
      <c r="AH6" s="305">
        <v>1.39073003083467E-2</v>
      </c>
      <c r="AI6" s="305">
        <v>1.39073003083467E-2</v>
      </c>
      <c r="AJ6" s="305">
        <v>1.39073003083467E-2</v>
      </c>
      <c r="AK6" s="305">
        <v>1.39073003083467E-2</v>
      </c>
      <c r="AL6" s="305">
        <v>1.39073003083467E-2</v>
      </c>
      <c r="AM6" s="305">
        <v>5.9559292213461297E-2</v>
      </c>
      <c r="AN6" s="305">
        <v>5.9559292213461346E-2</v>
      </c>
      <c r="AO6" s="305">
        <v>5.9559292213461346E-2</v>
      </c>
      <c r="AP6" s="305">
        <v>5.9559292213461346E-2</v>
      </c>
      <c r="AQ6" s="305">
        <v>5.9559292213461346E-2</v>
      </c>
      <c r="AR6" s="305">
        <v>9.853276765690025E-2</v>
      </c>
      <c r="AS6" s="305">
        <v>9.853276765690025E-2</v>
      </c>
      <c r="AT6" s="305">
        <v>9.853276765690025E-2</v>
      </c>
      <c r="AU6" s="305">
        <v>9.853276765690025E-2</v>
      </c>
      <c r="AV6" s="305">
        <v>9.853276765690025E-2</v>
      </c>
    </row>
    <row r="7" spans="1:48" x14ac:dyDescent="0.35">
      <c r="A7" s="24" t="s">
        <v>375</v>
      </c>
      <c r="B7" s="377" t="s">
        <v>99</v>
      </c>
      <c r="C7" s="376" t="s">
        <v>100</v>
      </c>
      <c r="D7" s="377">
        <v>5</v>
      </c>
      <c r="E7" s="308">
        <v>523.35871038564574</v>
      </c>
      <c r="F7" s="308">
        <v>519.49281201702934</v>
      </c>
      <c r="G7" s="308">
        <v>515.73510701533587</v>
      </c>
      <c r="H7" s="308">
        <v>522.79947080428667</v>
      </c>
      <c r="I7" s="308">
        <v>520.34652505557438</v>
      </c>
      <c r="J7" s="308">
        <v>768.00669712105264</v>
      </c>
      <c r="K7" s="308">
        <v>763.08372194271385</v>
      </c>
      <c r="L7" s="308">
        <v>750.749619474925</v>
      </c>
      <c r="M7" s="308">
        <v>758.33548317213194</v>
      </c>
      <c r="N7" s="308">
        <v>760.04388042770597</v>
      </c>
      <c r="O7" s="308">
        <v>2962.4145314600887</v>
      </c>
      <c r="P7" s="308">
        <v>3597.1135615756998</v>
      </c>
      <c r="Q7" s="308">
        <v>2830.6340392478473</v>
      </c>
      <c r="R7" s="308">
        <v>2692.149877257566</v>
      </c>
      <c r="S7" s="308">
        <v>3020.5780023853004</v>
      </c>
      <c r="T7" s="308">
        <v>3443.5165824109745</v>
      </c>
      <c r="U7" s="308">
        <v>3268.3521196173451</v>
      </c>
      <c r="V7" s="308">
        <v>3069.6243168763008</v>
      </c>
      <c r="W7" s="308">
        <v>3062.1386748302111</v>
      </c>
      <c r="X7" s="308">
        <v>3210.9079234337078</v>
      </c>
      <c r="Z7" s="24" t="s">
        <v>375</v>
      </c>
      <c r="AA7" s="24" t="s">
        <v>103</v>
      </c>
      <c r="AB7" s="24" t="s">
        <v>101</v>
      </c>
      <c r="AC7" s="305">
        <v>9.5266050044316083E-2</v>
      </c>
      <c r="AD7" s="305">
        <v>9.5266050044316083E-2</v>
      </c>
      <c r="AE7" s="305">
        <v>9.5266050044316083E-2</v>
      </c>
      <c r="AF7" s="305">
        <v>9.5266050044316083E-2</v>
      </c>
      <c r="AG7" s="305">
        <v>9.5266050044316083E-2</v>
      </c>
      <c r="AH7" s="305">
        <v>0.24374262491861901</v>
      </c>
      <c r="AI7" s="305">
        <v>0.24374262491861901</v>
      </c>
      <c r="AJ7" s="305">
        <v>0.24374262491861901</v>
      </c>
      <c r="AK7" s="305">
        <v>0.24374262491861901</v>
      </c>
      <c r="AL7" s="305">
        <v>0.24374262491861901</v>
      </c>
      <c r="AM7" s="305">
        <v>15.728350644101477</v>
      </c>
      <c r="AN7" s="305">
        <v>15.728350644101477</v>
      </c>
      <c r="AO7" s="305">
        <v>15.728350644101477</v>
      </c>
      <c r="AP7" s="305">
        <v>15.728350644101477</v>
      </c>
      <c r="AQ7" s="305">
        <v>15.728350644101477</v>
      </c>
      <c r="AR7" s="305">
        <v>19.129552945360732</v>
      </c>
      <c r="AS7" s="305">
        <v>19.129552945360732</v>
      </c>
      <c r="AT7" s="305">
        <v>19.129552945360732</v>
      </c>
      <c r="AU7" s="305">
        <v>19.129552945360732</v>
      </c>
      <c r="AV7" s="305">
        <v>19.129552945360732</v>
      </c>
    </row>
    <row r="8" spans="1:48" x14ac:dyDescent="0.35">
      <c r="A8" s="24" t="s">
        <v>375</v>
      </c>
      <c r="B8" s="377" t="s">
        <v>99</v>
      </c>
      <c r="C8" s="376" t="s">
        <v>100</v>
      </c>
      <c r="D8" s="377">
        <v>10</v>
      </c>
      <c r="E8" s="308">
        <v>309.06194383872077</v>
      </c>
      <c r="F8" s="308">
        <v>319.46483033889604</v>
      </c>
      <c r="G8" s="308">
        <v>311.41355329228185</v>
      </c>
      <c r="H8" s="308">
        <v>320.29130531319618</v>
      </c>
      <c r="I8" s="308">
        <v>315.05790819577373</v>
      </c>
      <c r="J8" s="308">
        <v>453.53528656948163</v>
      </c>
      <c r="K8" s="308">
        <v>469.26233843022106</v>
      </c>
      <c r="L8" s="308">
        <v>457.95631628972399</v>
      </c>
      <c r="M8" s="308">
        <v>468.07525440620702</v>
      </c>
      <c r="N8" s="308">
        <v>462.20729892390841</v>
      </c>
      <c r="O8" s="308">
        <v>1816.2080218507047</v>
      </c>
      <c r="P8" s="308">
        <v>2071.8806046629079</v>
      </c>
      <c r="Q8" s="308">
        <v>1813.6658563690089</v>
      </c>
      <c r="R8" s="308">
        <v>1856.5201527120676</v>
      </c>
      <c r="S8" s="308">
        <v>1889.5686588986723</v>
      </c>
      <c r="T8" s="308">
        <v>2062.8391133746964</v>
      </c>
      <c r="U8" s="308">
        <v>2031.6618443408843</v>
      </c>
      <c r="V8" s="308">
        <v>2019.461893160862</v>
      </c>
      <c r="W8" s="308">
        <v>2018.7384078047253</v>
      </c>
      <c r="X8" s="308">
        <v>2033.175314670292</v>
      </c>
      <c r="Z8" s="24" t="s">
        <v>375</v>
      </c>
      <c r="AA8" s="24" t="s">
        <v>103</v>
      </c>
      <c r="AB8" s="24" t="s">
        <v>104</v>
      </c>
      <c r="AC8" s="305">
        <v>5.3133856357303659E-2</v>
      </c>
      <c r="AD8" s="305">
        <v>5.3133856357303659E-2</v>
      </c>
      <c r="AE8" s="305">
        <v>5.3133856357303659E-2</v>
      </c>
      <c r="AF8" s="305">
        <v>5.3133856357303659E-2</v>
      </c>
      <c r="AG8" s="305">
        <v>5.3133856357303659E-2</v>
      </c>
      <c r="AH8" s="305">
        <v>7.8304258485635103E-2</v>
      </c>
      <c r="AI8" s="305">
        <v>7.8304258485635103E-2</v>
      </c>
      <c r="AJ8" s="305">
        <v>7.8304258485635103E-2</v>
      </c>
      <c r="AK8" s="305">
        <v>7.8304258485635103E-2</v>
      </c>
      <c r="AL8" s="305">
        <v>7.8304258485635103E-2</v>
      </c>
      <c r="AM8" s="305">
        <v>1.1607541700457293</v>
      </c>
      <c r="AN8" s="305">
        <v>1.1607541700457293</v>
      </c>
      <c r="AO8" s="305">
        <v>1.1607541700457293</v>
      </c>
      <c r="AP8" s="305">
        <v>1.1607541700457293</v>
      </c>
      <c r="AQ8" s="305">
        <v>1.1607541700457293</v>
      </c>
      <c r="AR8" s="305">
        <v>0.76280947269706467</v>
      </c>
      <c r="AS8" s="305">
        <v>0.76280947269706467</v>
      </c>
      <c r="AT8" s="305">
        <v>0.76280947269706467</v>
      </c>
      <c r="AU8" s="305">
        <v>0.76280947269706467</v>
      </c>
      <c r="AV8" s="305">
        <v>0.76280947269706467</v>
      </c>
    </row>
    <row r="9" spans="1:48" x14ac:dyDescent="0.35">
      <c r="A9" s="24" t="s">
        <v>375</v>
      </c>
      <c r="B9" s="377" t="s">
        <v>99</v>
      </c>
      <c r="C9" s="376" t="s">
        <v>100</v>
      </c>
      <c r="D9" s="377">
        <v>15</v>
      </c>
      <c r="E9" s="308">
        <v>243.87252487567886</v>
      </c>
      <c r="F9" s="308">
        <v>252.78883975114252</v>
      </c>
      <c r="G9" s="308">
        <v>246.63319143330233</v>
      </c>
      <c r="H9" s="308">
        <v>252.78883975118416</v>
      </c>
      <c r="I9" s="308">
        <v>249.02084895282698</v>
      </c>
      <c r="J9" s="308">
        <v>357.87258075886382</v>
      </c>
      <c r="K9" s="308">
        <v>371.32188211404701</v>
      </c>
      <c r="L9" s="308">
        <v>362.79573830001698</v>
      </c>
      <c r="M9" s="308">
        <v>371.32188211404701</v>
      </c>
      <c r="N9" s="308">
        <v>365.82802082174368</v>
      </c>
      <c r="O9" s="308">
        <v>1483.8970610544281</v>
      </c>
      <c r="P9" s="308">
        <v>1585.1721244902783</v>
      </c>
      <c r="Q9" s="308">
        <v>1504.7775282744515</v>
      </c>
      <c r="R9" s="308">
        <v>1585.1721244954472</v>
      </c>
      <c r="S9" s="308">
        <v>1539.7547095786513</v>
      </c>
      <c r="T9" s="308">
        <v>1780.82902170037</v>
      </c>
      <c r="U9" s="308">
        <v>1781.3761594450159</v>
      </c>
      <c r="V9" s="308">
        <v>1781.376161841767</v>
      </c>
      <c r="W9" s="308">
        <v>1781.3761642523662</v>
      </c>
      <c r="X9" s="308">
        <v>1781.2393768098796</v>
      </c>
      <c r="Z9" s="24" t="s">
        <v>375</v>
      </c>
      <c r="AA9" s="24" t="s">
        <v>99</v>
      </c>
      <c r="AB9" s="24" t="s">
        <v>377</v>
      </c>
      <c r="AC9" s="305">
        <v>1.07724752710409E-2</v>
      </c>
      <c r="AD9" s="305">
        <v>1.07724752710409E-2</v>
      </c>
      <c r="AE9" s="305">
        <v>1.07724752710409E-2</v>
      </c>
      <c r="AF9" s="305">
        <v>1.07724752710409E-2</v>
      </c>
      <c r="AG9" s="305">
        <v>1.07724752710409E-2</v>
      </c>
      <c r="AH9" s="305">
        <v>1.5721000730991301E-2</v>
      </c>
      <c r="AI9" s="305">
        <v>1.5721000730991301E-2</v>
      </c>
      <c r="AJ9" s="305">
        <v>1.5721000730991301E-2</v>
      </c>
      <c r="AK9" s="305">
        <v>1.5721000730991301E-2</v>
      </c>
      <c r="AL9" s="305">
        <v>1.5721000730991301E-2</v>
      </c>
      <c r="AM9" s="305">
        <v>2.143137247722806E-2</v>
      </c>
      <c r="AN9" s="305">
        <v>2.143137247722806E-2</v>
      </c>
      <c r="AO9" s="305">
        <v>2.143137247722806E-2</v>
      </c>
      <c r="AP9" s="305">
        <v>2.143137247722806E-2</v>
      </c>
      <c r="AQ9" s="305">
        <v>2.143137247722806E-2</v>
      </c>
      <c r="AR9" s="305">
        <v>2.1510954325207381E-2</v>
      </c>
      <c r="AS9" s="305">
        <v>2.1510954325207381E-2</v>
      </c>
      <c r="AT9" s="305">
        <v>2.1510954325207381E-2</v>
      </c>
      <c r="AU9" s="305">
        <v>2.1510954325207381E-2</v>
      </c>
      <c r="AV9" s="305">
        <v>2.1510954325207381E-2</v>
      </c>
    </row>
    <row r="10" spans="1:48" x14ac:dyDescent="0.35">
      <c r="A10" s="24" t="s">
        <v>375</v>
      </c>
      <c r="B10" s="377" t="s">
        <v>99</v>
      </c>
      <c r="C10" s="376" t="s">
        <v>100</v>
      </c>
      <c r="D10" s="377">
        <v>20</v>
      </c>
      <c r="E10" s="308">
        <v>205.30032791703724</v>
      </c>
      <c r="F10" s="308">
        <v>217.75682072610306</v>
      </c>
      <c r="G10" s="308">
        <v>205.30037108629824</v>
      </c>
      <c r="H10" s="308">
        <v>217.75682072598033</v>
      </c>
      <c r="I10" s="308">
        <v>211.52858511385469</v>
      </c>
      <c r="J10" s="308">
        <v>301.26951865432699</v>
      </c>
      <c r="K10" s="308">
        <v>321.44763631420199</v>
      </c>
      <c r="L10" s="308">
        <v>301.26981238601701</v>
      </c>
      <c r="M10" s="308">
        <v>321.44763631336701</v>
      </c>
      <c r="N10" s="308">
        <v>311.35865091697798</v>
      </c>
      <c r="O10" s="308">
        <v>1318.5140396191105</v>
      </c>
      <c r="P10" s="308">
        <v>1382.7370698650902</v>
      </c>
      <c r="Q10" s="308">
        <v>1318.5139428026932</v>
      </c>
      <c r="R10" s="308">
        <v>1382.7370570066598</v>
      </c>
      <c r="S10" s="308">
        <v>1350.6255273233887</v>
      </c>
      <c r="T10" s="308">
        <v>1612.7610808883787</v>
      </c>
      <c r="U10" s="308">
        <v>1612.7610808939482</v>
      </c>
      <c r="V10" s="308">
        <v>1612.7610808938359</v>
      </c>
      <c r="W10" s="308">
        <v>1612.7610569738686</v>
      </c>
      <c r="X10" s="308">
        <v>1612.7610749125079</v>
      </c>
      <c r="Z10" s="24" t="s">
        <v>375</v>
      </c>
      <c r="AA10" s="24" t="s">
        <v>378</v>
      </c>
      <c r="AB10" s="24" t="s">
        <v>379</v>
      </c>
      <c r="AC10" s="305">
        <v>0.93254622442210999</v>
      </c>
      <c r="AD10" s="305">
        <v>0.93254622442210999</v>
      </c>
      <c r="AE10" s="305">
        <v>0.93254622442210999</v>
      </c>
      <c r="AF10" s="305">
        <v>0.93254622442210999</v>
      </c>
      <c r="AG10" s="305">
        <v>0.93254622442210999</v>
      </c>
      <c r="AH10" s="305">
        <v>1.23977994918823</v>
      </c>
      <c r="AI10" s="305">
        <v>1.23977994918823</v>
      </c>
      <c r="AJ10" s="305">
        <v>1.23977994918823</v>
      </c>
      <c r="AK10" s="305">
        <v>1.23977994918823</v>
      </c>
      <c r="AL10" s="305">
        <v>1.23977994918823</v>
      </c>
      <c r="AM10" s="305">
        <v>16.235500436477086</v>
      </c>
      <c r="AN10" s="305">
        <v>16.235500436477086</v>
      </c>
      <c r="AO10" s="305">
        <v>16.235500436477086</v>
      </c>
      <c r="AP10" s="305">
        <v>16.235500436477086</v>
      </c>
      <c r="AQ10" s="305">
        <v>16.235500436477086</v>
      </c>
      <c r="AR10" s="305">
        <v>13.197087503922003</v>
      </c>
      <c r="AS10" s="305">
        <v>13.197087503922003</v>
      </c>
      <c r="AT10" s="305">
        <v>13.197087503922003</v>
      </c>
      <c r="AU10" s="305">
        <v>13.197087503922003</v>
      </c>
      <c r="AV10" s="305">
        <v>13.197087503922003</v>
      </c>
    </row>
    <row r="11" spans="1:48" x14ac:dyDescent="0.35">
      <c r="A11" s="24" t="s">
        <v>375</v>
      </c>
      <c r="B11" s="377" t="s">
        <v>99</v>
      </c>
      <c r="C11" s="376" t="s">
        <v>100</v>
      </c>
      <c r="D11" s="377">
        <v>25</v>
      </c>
      <c r="E11" s="308">
        <v>183.27845568107401</v>
      </c>
      <c r="F11" s="308">
        <v>194.16094050548742</v>
      </c>
      <c r="G11" s="308">
        <v>183.2784556810532</v>
      </c>
      <c r="H11" s="308">
        <v>194.16094050515255</v>
      </c>
      <c r="I11" s="308">
        <v>188.71969809319197</v>
      </c>
      <c r="J11" s="308">
        <v>270.07393113674999</v>
      </c>
      <c r="K11" s="308">
        <v>288.51038880553</v>
      </c>
      <c r="L11" s="308">
        <v>270.07393113674999</v>
      </c>
      <c r="M11" s="308">
        <v>288.51038880553</v>
      </c>
      <c r="N11" s="308">
        <v>279.29215997113999</v>
      </c>
      <c r="O11" s="308">
        <v>1175.4399713188652</v>
      </c>
      <c r="P11" s="308">
        <v>1243.2111645077991</v>
      </c>
      <c r="Q11" s="308">
        <v>1175.4399713126329</v>
      </c>
      <c r="R11" s="308">
        <v>1243.2113718546634</v>
      </c>
      <c r="S11" s="308">
        <v>1209.3256197484902</v>
      </c>
      <c r="T11" s="308">
        <v>1477.1916764623152</v>
      </c>
      <c r="U11" s="308">
        <v>1477.1916764598898</v>
      </c>
      <c r="V11" s="308">
        <v>1477.1916764599505</v>
      </c>
      <c r="W11" s="308">
        <v>1477.1916764590987</v>
      </c>
      <c r="X11" s="308">
        <v>1477.1916764603136</v>
      </c>
    </row>
    <row r="12" spans="1:48" x14ac:dyDescent="0.35">
      <c r="A12" s="24" t="s">
        <v>375</v>
      </c>
      <c r="B12" s="377" t="s">
        <v>99</v>
      </c>
      <c r="C12" s="376" t="s">
        <v>100</v>
      </c>
      <c r="D12" s="377">
        <v>30</v>
      </c>
      <c r="E12" s="308">
        <v>169.05229503061591</v>
      </c>
      <c r="F12" s="308">
        <v>173.50617905472282</v>
      </c>
      <c r="G12" s="308">
        <v>169.05229503061591</v>
      </c>
      <c r="H12" s="308">
        <v>173.50617905472282</v>
      </c>
      <c r="I12" s="308">
        <v>171.27923704266988</v>
      </c>
      <c r="J12" s="308">
        <v>250.14578856236699</v>
      </c>
      <c r="K12" s="308">
        <v>257.575107726966</v>
      </c>
      <c r="L12" s="308">
        <v>250.14578856236699</v>
      </c>
      <c r="M12" s="308">
        <v>257.575107726966</v>
      </c>
      <c r="N12" s="308">
        <v>253.860448144667</v>
      </c>
      <c r="O12" s="308">
        <v>1142.272969576132</v>
      </c>
      <c r="P12" s="308">
        <v>1157.4361158387853</v>
      </c>
      <c r="Q12" s="308">
        <v>1142.272896959018</v>
      </c>
      <c r="R12" s="308">
        <v>1157.4360916481701</v>
      </c>
      <c r="S12" s="308">
        <v>1149.8545185055264</v>
      </c>
      <c r="T12" s="308">
        <v>1436.655590618439</v>
      </c>
      <c r="U12" s="308">
        <v>1436.6555906182573</v>
      </c>
      <c r="V12" s="308">
        <v>1436.6555906192107</v>
      </c>
      <c r="W12" s="308">
        <v>1436.6555906167732</v>
      </c>
      <c r="X12" s="308">
        <v>1436.6555906181702</v>
      </c>
    </row>
    <row r="13" spans="1:48" ht="15" customHeight="1" x14ac:dyDescent="0.35">
      <c r="A13" s="24" t="s">
        <v>375</v>
      </c>
      <c r="B13" s="377" t="s">
        <v>99</v>
      </c>
      <c r="C13" s="376" t="s">
        <v>100</v>
      </c>
      <c r="D13" s="377">
        <v>35</v>
      </c>
      <c r="E13" s="308">
        <v>163.09804295281228</v>
      </c>
      <c r="F13" s="308">
        <v>164.58165447247035</v>
      </c>
      <c r="G13" s="308">
        <v>163.09804295281228</v>
      </c>
      <c r="H13" s="308">
        <v>164.05746723904582</v>
      </c>
      <c r="I13" s="308">
        <v>163.70880190428582</v>
      </c>
      <c r="J13" s="308">
        <v>243.32165822421601</v>
      </c>
      <c r="K13" s="308">
        <v>245.784873260767</v>
      </c>
      <c r="L13" s="308">
        <v>243.32165822421601</v>
      </c>
      <c r="M13" s="308">
        <v>244.925765009907</v>
      </c>
      <c r="N13" s="308">
        <v>244.33848867977699</v>
      </c>
      <c r="O13" s="308">
        <v>1014.9453180833528</v>
      </c>
      <c r="P13" s="308">
        <v>1074.7691738452108</v>
      </c>
      <c r="Q13" s="308">
        <v>1014.9452816625244</v>
      </c>
      <c r="R13" s="308">
        <v>1074.7691738464573</v>
      </c>
      <c r="S13" s="308">
        <v>1044.8572368593864</v>
      </c>
      <c r="T13" s="308">
        <v>1255.4973226463112</v>
      </c>
      <c r="U13" s="308">
        <v>1255.4973226468173</v>
      </c>
      <c r="V13" s="308">
        <v>1255.4973226466709</v>
      </c>
      <c r="W13" s="308">
        <v>1255.4973226476245</v>
      </c>
      <c r="X13" s="308">
        <v>1255.4973226468558</v>
      </c>
    </row>
    <row r="14" spans="1:48" ht="15" customHeight="1" x14ac:dyDescent="0.35">
      <c r="A14" s="24" t="s">
        <v>375</v>
      </c>
      <c r="B14" s="377" t="s">
        <v>99</v>
      </c>
      <c r="C14" s="376" t="s">
        <v>100</v>
      </c>
      <c r="D14" s="377">
        <v>40</v>
      </c>
      <c r="E14" s="308">
        <v>159.04161476216638</v>
      </c>
      <c r="F14" s="308">
        <v>159.2793135552223</v>
      </c>
      <c r="G14" s="308">
        <v>159.04161476216638</v>
      </c>
      <c r="H14" s="308">
        <v>158.24209320928281</v>
      </c>
      <c r="I14" s="308">
        <v>158.90115907220942</v>
      </c>
      <c r="J14" s="308">
        <v>238.92353930033201</v>
      </c>
      <c r="K14" s="308">
        <v>239.40568787718999</v>
      </c>
      <c r="L14" s="308">
        <v>238.92353930033201</v>
      </c>
      <c r="M14" s="308">
        <v>237.70664954103901</v>
      </c>
      <c r="N14" s="308">
        <v>238.73985400472299</v>
      </c>
      <c r="O14" s="308">
        <v>979.53403032251947</v>
      </c>
      <c r="P14" s="308">
        <v>1025.8436359459015</v>
      </c>
      <c r="Q14" s="308">
        <v>979.53401822046749</v>
      </c>
      <c r="R14" s="308">
        <v>1025.8436102290407</v>
      </c>
      <c r="S14" s="308">
        <v>1002.6888236794849</v>
      </c>
      <c r="T14" s="308">
        <v>1231.94456249769</v>
      </c>
      <c r="U14" s="308">
        <v>1231.9445624971952</v>
      </c>
      <c r="V14" s="308">
        <v>1231.9445624971952</v>
      </c>
      <c r="W14" s="308">
        <v>1231.9445624974426</v>
      </c>
      <c r="X14" s="308">
        <v>1231.9445624973807</v>
      </c>
    </row>
    <row r="15" spans="1:48" ht="15" customHeight="1" x14ac:dyDescent="0.35">
      <c r="A15" s="24" t="s">
        <v>375</v>
      </c>
      <c r="B15" s="377" t="s">
        <v>99</v>
      </c>
      <c r="C15" s="376" t="s">
        <v>100</v>
      </c>
      <c r="D15" s="377">
        <v>45</v>
      </c>
      <c r="E15" s="308">
        <v>155.88699203344589</v>
      </c>
      <c r="F15" s="308">
        <v>155.15471558648076</v>
      </c>
      <c r="G15" s="308">
        <v>155.88699203344589</v>
      </c>
      <c r="H15" s="308">
        <v>153.90965032197627</v>
      </c>
      <c r="I15" s="308">
        <v>155.20958749383726</v>
      </c>
      <c r="J15" s="308">
        <v>235.50345660140701</v>
      </c>
      <c r="K15" s="308">
        <v>234.44345243020899</v>
      </c>
      <c r="L15" s="308">
        <v>235.50345660140701</v>
      </c>
      <c r="M15" s="308">
        <v>232.18750912870701</v>
      </c>
      <c r="N15" s="308">
        <v>234.40946869043299</v>
      </c>
      <c r="O15" s="308">
        <v>953.39663918239341</v>
      </c>
      <c r="P15" s="308">
        <v>988.0631145346963</v>
      </c>
      <c r="Q15" s="308">
        <v>953.39665189415075</v>
      </c>
      <c r="R15" s="308">
        <v>988.0631144900043</v>
      </c>
      <c r="S15" s="308">
        <v>970.72988002531372</v>
      </c>
      <c r="T15" s="308">
        <v>1213.7937571518344</v>
      </c>
      <c r="U15" s="308">
        <v>1213.7937571502912</v>
      </c>
      <c r="V15" s="308">
        <v>1213.7937571487485</v>
      </c>
      <c r="W15" s="308">
        <v>1213.7937571510629</v>
      </c>
      <c r="X15" s="308">
        <v>1213.793757150484</v>
      </c>
    </row>
    <row r="16" spans="1:48" ht="15" customHeight="1" x14ac:dyDescent="0.35">
      <c r="A16" s="24" t="s">
        <v>375</v>
      </c>
      <c r="B16" s="377" t="s">
        <v>99</v>
      </c>
      <c r="C16" s="376" t="s">
        <v>100</v>
      </c>
      <c r="D16" s="377">
        <v>50</v>
      </c>
      <c r="E16" s="308">
        <v>151.78208588648934</v>
      </c>
      <c r="F16" s="308">
        <v>152.1076194590585</v>
      </c>
      <c r="G16" s="308">
        <v>151.78208588648934</v>
      </c>
      <c r="H16" s="308">
        <v>150.76540313901828</v>
      </c>
      <c r="I16" s="308">
        <v>151.60929859276405</v>
      </c>
      <c r="J16" s="308">
        <v>230.382394134067</v>
      </c>
      <c r="K16" s="308">
        <v>230.89542532234901</v>
      </c>
      <c r="L16" s="308">
        <v>230.382394134067</v>
      </c>
      <c r="M16" s="308">
        <v>227.93342293589299</v>
      </c>
      <c r="N16" s="308">
        <v>229.89840913159401</v>
      </c>
      <c r="O16" s="308">
        <v>943.81670668950142</v>
      </c>
      <c r="P16" s="308">
        <v>960.01374423239884</v>
      </c>
      <c r="Q16" s="308">
        <v>943.81658566898034</v>
      </c>
      <c r="R16" s="308">
        <v>960.01374423115237</v>
      </c>
      <c r="S16" s="308">
        <v>951.91519520551094</v>
      </c>
      <c r="T16" s="308">
        <v>1164.4381688763754</v>
      </c>
      <c r="U16" s="308">
        <v>1164.4381688763754</v>
      </c>
      <c r="V16" s="308">
        <v>1164.4381688771412</v>
      </c>
      <c r="W16" s="308">
        <v>1164.4381688771412</v>
      </c>
      <c r="X16" s="308">
        <v>1164.438168876758</v>
      </c>
    </row>
    <row r="17" spans="1:24" ht="15" customHeight="1" x14ac:dyDescent="0.35">
      <c r="A17" s="24" t="s">
        <v>375</v>
      </c>
      <c r="B17" s="377" t="s">
        <v>99</v>
      </c>
      <c r="C17" s="376" t="s">
        <v>100</v>
      </c>
      <c r="D17" s="377">
        <v>55</v>
      </c>
      <c r="E17" s="308">
        <v>148.00357997004053</v>
      </c>
      <c r="F17" s="308">
        <v>150.62279038851295</v>
      </c>
      <c r="G17" s="308">
        <v>148.00357997008857</v>
      </c>
      <c r="H17" s="308">
        <v>149.10134799443637</v>
      </c>
      <c r="I17" s="308">
        <v>148.93282458076951</v>
      </c>
      <c r="J17" s="308">
        <v>225.55835690593801</v>
      </c>
      <c r="K17" s="308">
        <v>229.67737480299499</v>
      </c>
      <c r="L17" s="308">
        <v>225.55835690593801</v>
      </c>
      <c r="M17" s="308">
        <v>226.380357602727</v>
      </c>
      <c r="N17" s="308">
        <v>226.79361155439901</v>
      </c>
      <c r="O17" s="308">
        <v>935.97620379854754</v>
      </c>
      <c r="P17" s="308">
        <v>937.06668321670486</v>
      </c>
      <c r="Q17" s="308">
        <v>935.97620379854754</v>
      </c>
      <c r="R17" s="308">
        <v>937.06580541376638</v>
      </c>
      <c r="S17" s="308">
        <v>936.52122405689272</v>
      </c>
      <c r="T17" s="308">
        <v>1110.1671594814834</v>
      </c>
      <c r="U17" s="308">
        <v>1110.1671594814834</v>
      </c>
      <c r="V17" s="308">
        <v>1110.1671594814834</v>
      </c>
      <c r="W17" s="308">
        <v>1110.1671594814834</v>
      </c>
      <c r="X17" s="308">
        <v>1110.1671594814834</v>
      </c>
    </row>
    <row r="18" spans="1:24" ht="15" customHeight="1" x14ac:dyDescent="0.35">
      <c r="A18" s="24" t="s">
        <v>375</v>
      </c>
      <c r="B18" s="377" t="s">
        <v>99</v>
      </c>
      <c r="C18" s="376" t="s">
        <v>100</v>
      </c>
      <c r="D18" s="377">
        <v>60</v>
      </c>
      <c r="E18" s="308">
        <v>146.04935268723455</v>
      </c>
      <c r="F18" s="308">
        <v>149.48423702580433</v>
      </c>
      <c r="G18" s="308">
        <v>146.04935268723455</v>
      </c>
      <c r="H18" s="308">
        <v>149.0361529363565</v>
      </c>
      <c r="I18" s="308">
        <v>146.04935268723455</v>
      </c>
      <c r="J18" s="308">
        <v>223.543324866332</v>
      </c>
      <c r="K18" s="308">
        <v>227.94125009872192</v>
      </c>
      <c r="L18" s="308">
        <v>223.543324866332</v>
      </c>
      <c r="M18" s="308">
        <v>226.28137204182781</v>
      </c>
      <c r="N18" s="308">
        <v>225.32731796830342</v>
      </c>
      <c r="O18" s="308">
        <v>923.79787965226126</v>
      </c>
      <c r="P18" s="308">
        <v>918.56068942448348</v>
      </c>
      <c r="Q18" s="308">
        <v>923.79787965226126</v>
      </c>
      <c r="R18" s="308">
        <v>918.56133882203085</v>
      </c>
      <c r="S18" s="308">
        <v>921.17944688775924</v>
      </c>
      <c r="T18" s="308">
        <v>1115.2049043583158</v>
      </c>
      <c r="U18" s="308">
        <v>1077.9395155529182</v>
      </c>
      <c r="V18" s="308">
        <v>1115.2049043610655</v>
      </c>
      <c r="W18" s="308">
        <v>1077.9414252463323</v>
      </c>
      <c r="X18" s="308">
        <v>1096.572687379658</v>
      </c>
    </row>
    <row r="19" spans="1:24" ht="15" customHeight="1" x14ac:dyDescent="0.35">
      <c r="A19" s="24" t="s">
        <v>375</v>
      </c>
      <c r="B19" s="377" t="s">
        <v>99</v>
      </c>
      <c r="C19" s="376" t="s">
        <v>100</v>
      </c>
      <c r="D19" s="377">
        <v>65</v>
      </c>
      <c r="E19" s="308">
        <v>148.73304750878037</v>
      </c>
      <c r="F19" s="308">
        <v>150.36065631362223</v>
      </c>
      <c r="G19" s="308">
        <v>148.73304750860447</v>
      </c>
      <c r="H19" s="308">
        <v>150.59413449750613</v>
      </c>
      <c r="I19" s="308">
        <v>148.73304750869281</v>
      </c>
      <c r="J19" s="308">
        <v>229.18933061999201</v>
      </c>
      <c r="K19" s="308">
        <v>229.277659288417</v>
      </c>
      <c r="L19" s="308">
        <v>229.18933061999201</v>
      </c>
      <c r="M19" s="308">
        <v>228.64685315716068</v>
      </c>
      <c r="N19" s="308">
        <v>229.07579342139042</v>
      </c>
      <c r="O19" s="308">
        <v>982.18180112748803</v>
      </c>
      <c r="P19" s="308">
        <v>992.97927161392738</v>
      </c>
      <c r="Q19" s="308">
        <v>982.18209545813204</v>
      </c>
      <c r="R19" s="308">
        <v>992.98423713832119</v>
      </c>
      <c r="S19" s="308">
        <v>987.58185133446716</v>
      </c>
      <c r="T19" s="308">
        <v>1166.8699935223128</v>
      </c>
      <c r="U19" s="308">
        <v>1134.9116129129611</v>
      </c>
      <c r="V19" s="308">
        <v>1166.8699909720997</v>
      </c>
      <c r="W19" s="308">
        <v>1134.9176072234127</v>
      </c>
      <c r="X19" s="308">
        <v>1150.8923011576967</v>
      </c>
    </row>
    <row r="20" spans="1:24" ht="15" customHeight="1" x14ac:dyDescent="0.35">
      <c r="A20" s="24" t="s">
        <v>375</v>
      </c>
      <c r="B20" s="377" t="s">
        <v>99</v>
      </c>
      <c r="C20" s="376" t="s">
        <v>100</v>
      </c>
      <c r="D20" s="377">
        <v>70</v>
      </c>
      <c r="E20" s="308">
        <v>154.82624688365499</v>
      </c>
      <c r="F20" s="308">
        <v>155.77864405367959</v>
      </c>
      <c r="G20" s="308">
        <v>154.82624688365499</v>
      </c>
      <c r="H20" s="308">
        <v>156.02095242430278</v>
      </c>
      <c r="I20" s="308">
        <v>154.82624688365499</v>
      </c>
      <c r="J20" s="308">
        <v>240.08444468374299</v>
      </c>
      <c r="K20" s="308">
        <v>237.53928555122513</v>
      </c>
      <c r="L20" s="308">
        <v>240.08444468374299</v>
      </c>
      <c r="M20" s="308">
        <v>236.88638284242515</v>
      </c>
      <c r="N20" s="308">
        <v>238.64863944028406</v>
      </c>
      <c r="O20" s="308">
        <v>1037.8089042303202</v>
      </c>
      <c r="P20" s="308">
        <v>1064.3280219297533</v>
      </c>
      <c r="Q20" s="308">
        <v>1037.808904259238</v>
      </c>
      <c r="R20" s="308">
        <v>1064.3359616296987</v>
      </c>
      <c r="S20" s="308">
        <v>1051.0704480122524</v>
      </c>
      <c r="T20" s="308">
        <v>1211.8664845346443</v>
      </c>
      <c r="U20" s="308">
        <v>1185.6067508837291</v>
      </c>
      <c r="V20" s="308">
        <v>1211.8664845315789</v>
      </c>
      <c r="W20" s="308">
        <v>1185.6166074200682</v>
      </c>
      <c r="X20" s="308">
        <v>1198.7390818425051</v>
      </c>
    </row>
    <row r="21" spans="1:24" ht="15" customHeight="1" x14ac:dyDescent="0.35">
      <c r="A21" s="24" t="s">
        <v>375</v>
      </c>
      <c r="B21" s="377" t="s">
        <v>99</v>
      </c>
      <c r="C21" s="376" t="s">
        <v>100</v>
      </c>
      <c r="D21" s="377">
        <v>75</v>
      </c>
      <c r="E21" s="308">
        <v>159.92951368957583</v>
      </c>
      <c r="F21" s="308">
        <v>164.52607758736039</v>
      </c>
      <c r="G21" s="308">
        <v>162.22102469995042</v>
      </c>
      <c r="H21" s="308">
        <v>164.78218925638382</v>
      </c>
      <c r="I21" s="308">
        <v>162.86470130831762</v>
      </c>
      <c r="J21" s="308">
        <v>247.99792835872469</v>
      </c>
      <c r="K21" s="308">
        <v>250.8778219380315</v>
      </c>
      <c r="L21" s="308">
        <v>251.55130615794164</v>
      </c>
      <c r="M21" s="308">
        <v>250.18855585271004</v>
      </c>
      <c r="N21" s="308">
        <v>250.15390307685198</v>
      </c>
      <c r="O21" s="308">
        <v>1036.238510889551</v>
      </c>
      <c r="P21" s="308">
        <v>1067.7339786558664</v>
      </c>
      <c r="Q21" s="308">
        <v>1039.0828160493454</v>
      </c>
      <c r="R21" s="308">
        <v>1067.7436030308841</v>
      </c>
      <c r="S21" s="308">
        <v>1052.6997271564119</v>
      </c>
      <c r="T21" s="308">
        <v>1182.418190928146</v>
      </c>
      <c r="U21" s="308">
        <v>1153.227341085694</v>
      </c>
      <c r="V21" s="308">
        <v>1180.2802892903576</v>
      </c>
      <c r="W21" s="308">
        <v>1153.23756019554</v>
      </c>
      <c r="X21" s="308">
        <v>1167.2908453749344</v>
      </c>
    </row>
    <row r="22" spans="1:24" ht="15" customHeight="1" x14ac:dyDescent="0.35">
      <c r="A22" s="24" t="s">
        <v>375</v>
      </c>
      <c r="B22" s="24" t="s">
        <v>99</v>
      </c>
      <c r="C22" s="24" t="s">
        <v>101</v>
      </c>
      <c r="D22" s="306" t="s">
        <v>376</v>
      </c>
      <c r="E22" s="307">
        <v>1.714134814017227E-2</v>
      </c>
      <c r="F22" s="307">
        <v>1.6732562319958681E-2</v>
      </c>
      <c r="G22" s="307">
        <v>1.5946978601665249E-2</v>
      </c>
      <c r="H22" s="307">
        <v>1.7901432205959616E-2</v>
      </c>
      <c r="I22" s="307">
        <v>1.6214293245889414E-2</v>
      </c>
      <c r="J22" s="307">
        <v>3.1344921824920803E-2</v>
      </c>
      <c r="K22" s="307">
        <v>3.117360862200886E-2</v>
      </c>
      <c r="L22" s="307">
        <v>2.9360730297096359E-2</v>
      </c>
      <c r="M22" s="307">
        <v>3.3965149385050082E-2</v>
      </c>
      <c r="N22" s="307">
        <v>3.035399429028976E-2</v>
      </c>
      <c r="O22" s="307">
        <v>0.59058910377933116</v>
      </c>
      <c r="P22" s="307">
        <v>0.89977832713992734</v>
      </c>
      <c r="Q22" s="307">
        <v>0.60877027981998566</v>
      </c>
      <c r="R22" s="307">
        <v>1.2915565200823886</v>
      </c>
      <c r="S22" s="307">
        <v>0.94890877224821957</v>
      </c>
      <c r="T22" s="307">
        <v>1.0613068193075896</v>
      </c>
      <c r="U22" s="307">
        <v>1.6568182143851971</v>
      </c>
      <c r="V22" s="307">
        <v>1.0726465353734387</v>
      </c>
      <c r="W22" s="307">
        <v>2.4171696497473332</v>
      </c>
      <c r="X22" s="307">
        <v>1.7039544895225527</v>
      </c>
    </row>
    <row r="23" spans="1:24" ht="15" customHeight="1" x14ac:dyDescent="0.35">
      <c r="A23" s="24" t="s">
        <v>375</v>
      </c>
      <c r="B23" s="24" t="s">
        <v>99</v>
      </c>
      <c r="C23" s="24" t="s">
        <v>101</v>
      </c>
      <c r="D23" s="377">
        <v>2.5</v>
      </c>
      <c r="E23" s="305">
        <v>4.7004889397554026E-2</v>
      </c>
      <c r="F23" s="305">
        <v>4.6073295056728289E-2</v>
      </c>
      <c r="G23" s="305">
        <v>4.1309079183604915E-2</v>
      </c>
      <c r="H23" s="305">
        <v>4.1309082457895892E-2</v>
      </c>
      <c r="I23" s="305">
        <v>4.3924086523945777E-2</v>
      </c>
      <c r="J23" s="305">
        <v>9.376973800555749E-2</v>
      </c>
      <c r="K23" s="305">
        <v>9.0486804462368217E-2</v>
      </c>
      <c r="L23" s="305">
        <v>9.5845367636125403E-2</v>
      </c>
      <c r="M23" s="305">
        <v>9.5845367015660501E-2</v>
      </c>
      <c r="N23" s="305">
        <v>9.39868192799279E-2</v>
      </c>
      <c r="O23" s="305">
        <v>8.5801807186264725</v>
      </c>
      <c r="P23" s="305">
        <v>10.987188706441646</v>
      </c>
      <c r="Q23" s="305">
        <v>10.573473680158953</v>
      </c>
      <c r="R23" s="305">
        <v>10.239827895029759</v>
      </c>
      <c r="S23" s="305">
        <v>10.095167750064206</v>
      </c>
      <c r="T23" s="305">
        <v>13.795925072890038</v>
      </c>
      <c r="U23" s="305">
        <v>15.187688242069735</v>
      </c>
      <c r="V23" s="305">
        <v>15.844677857134251</v>
      </c>
      <c r="W23" s="305">
        <v>15.823623391380481</v>
      </c>
      <c r="X23" s="305">
        <v>15.162978640868626</v>
      </c>
    </row>
    <row r="24" spans="1:24" ht="15" customHeight="1" x14ac:dyDescent="0.35">
      <c r="A24" s="24" t="s">
        <v>375</v>
      </c>
      <c r="B24" s="24" t="s">
        <v>99</v>
      </c>
      <c r="C24" s="24" t="s">
        <v>101</v>
      </c>
      <c r="D24" s="377">
        <v>5</v>
      </c>
      <c r="E24" s="305">
        <v>3.0812641987086775E-2</v>
      </c>
      <c r="F24" s="305">
        <v>3.1918593959145279E-2</v>
      </c>
      <c r="G24" s="305">
        <v>2.9667280573334405E-2</v>
      </c>
      <c r="H24" s="305">
        <v>2.9690967654019542E-2</v>
      </c>
      <c r="I24" s="305">
        <v>3.0522371043396501E-2</v>
      </c>
      <c r="J24" s="305">
        <v>6.1467932451693345E-2</v>
      </c>
      <c r="K24" s="305">
        <v>6.2687323898556885E-2</v>
      </c>
      <c r="L24" s="305">
        <v>6.3943178837765402E-2</v>
      </c>
      <c r="M24" s="305">
        <v>6.4198487648743197E-2</v>
      </c>
      <c r="N24" s="305">
        <v>6.3074230709189716E-2</v>
      </c>
      <c r="O24" s="305">
        <v>4.5333001423050128</v>
      </c>
      <c r="P24" s="305">
        <v>5.5467659045932702</v>
      </c>
      <c r="Q24" s="305">
        <v>5.7755028808217279</v>
      </c>
      <c r="R24" s="305">
        <v>5.4581587574889401</v>
      </c>
      <c r="S24" s="305">
        <v>5.3284319213022382</v>
      </c>
      <c r="T24" s="305">
        <v>7.1492599618602002</v>
      </c>
      <c r="U24" s="305">
        <v>7.6542152849677905</v>
      </c>
      <c r="V24" s="305">
        <v>8.911541909538613</v>
      </c>
      <c r="W24" s="305">
        <v>8.8998003618824892</v>
      </c>
      <c r="X24" s="305">
        <v>8.1537043795622726</v>
      </c>
    </row>
    <row r="25" spans="1:24" ht="15" customHeight="1" x14ac:dyDescent="0.35">
      <c r="A25" s="24" t="s">
        <v>375</v>
      </c>
      <c r="B25" s="24" t="s">
        <v>99</v>
      </c>
      <c r="C25" s="24" t="s">
        <v>101</v>
      </c>
      <c r="D25" s="377">
        <v>10</v>
      </c>
      <c r="E25" s="305">
        <v>2.2009287069932267E-2</v>
      </c>
      <c r="F25" s="305">
        <v>2.4599783694989916E-2</v>
      </c>
      <c r="G25" s="305">
        <v>2.3155268269791161E-2</v>
      </c>
      <c r="H25" s="305">
        <v>2.3881929476053325E-2</v>
      </c>
      <c r="I25" s="305">
        <v>2.3411567127691671E-2</v>
      </c>
      <c r="J25" s="305">
        <v>4.3906178882404646E-2</v>
      </c>
      <c r="K25" s="305">
        <v>4.8313362746996311E-2</v>
      </c>
      <c r="L25" s="305">
        <v>4.70718159494036E-2</v>
      </c>
      <c r="M25" s="305">
        <v>4.8375057588946398E-2</v>
      </c>
      <c r="N25" s="305">
        <v>4.6916603791937739E-2</v>
      </c>
      <c r="O25" s="305">
        <v>2.6582514726440767</v>
      </c>
      <c r="P25" s="305">
        <v>3.1056937929259631</v>
      </c>
      <c r="Q25" s="305">
        <v>3.2389109913289471</v>
      </c>
      <c r="R25" s="305">
        <v>3.1708680768361552</v>
      </c>
      <c r="S25" s="305">
        <v>3.0434310834337857</v>
      </c>
      <c r="T25" s="305">
        <v>4.1679916984015746</v>
      </c>
      <c r="U25" s="305">
        <v>4.6245644736510974</v>
      </c>
      <c r="V25" s="305">
        <v>5.1963418648637134</v>
      </c>
      <c r="W25" s="305">
        <v>5.1949945771386625</v>
      </c>
      <c r="X25" s="305">
        <v>4.7959731535137617</v>
      </c>
    </row>
    <row r="26" spans="1:24" ht="15" customHeight="1" x14ac:dyDescent="0.35">
      <c r="A26" s="24" t="s">
        <v>375</v>
      </c>
      <c r="B26" s="24" t="s">
        <v>99</v>
      </c>
      <c r="C26" s="24" t="s">
        <v>101</v>
      </c>
      <c r="D26" s="377">
        <v>15</v>
      </c>
      <c r="E26" s="305">
        <v>1.828825187307264E-2</v>
      </c>
      <c r="F26" s="305">
        <v>2.1945578872360726E-2</v>
      </c>
      <c r="G26" s="305">
        <v>1.9646862030285601E-2</v>
      </c>
      <c r="H26" s="305">
        <v>2.1945582222772816E-2</v>
      </c>
      <c r="I26" s="305">
        <v>2.0456568749622945E-2</v>
      </c>
      <c r="J26" s="305">
        <v>3.6483110772023306E-2</v>
      </c>
      <c r="K26" s="305">
        <v>4.3100570553761403E-2</v>
      </c>
      <c r="L26" s="305">
        <v>3.9666695397405201E-2</v>
      </c>
      <c r="M26" s="305">
        <v>4.3100570554595097E-2</v>
      </c>
      <c r="N26" s="305">
        <v>4.0587736819446253E-2</v>
      </c>
      <c r="O26" s="305">
        <v>2.118030745185643</v>
      </c>
      <c r="P26" s="305">
        <v>2.3449635815461032</v>
      </c>
      <c r="Q26" s="305">
        <v>2.3638266471073579</v>
      </c>
      <c r="R26" s="305">
        <v>2.3449634012411416</v>
      </c>
      <c r="S26" s="305">
        <v>2.2929460937700612</v>
      </c>
      <c r="T26" s="305">
        <v>3.4611205407187438</v>
      </c>
      <c r="U26" s="305">
        <v>3.9082867935536898</v>
      </c>
      <c r="V26" s="305">
        <v>3.9082871235576548</v>
      </c>
      <c r="W26" s="305">
        <v>3.908287419762555</v>
      </c>
      <c r="X26" s="305">
        <v>3.796495469398161</v>
      </c>
    </row>
    <row r="27" spans="1:24" ht="15" customHeight="1" x14ac:dyDescent="0.35">
      <c r="A27" s="24" t="s">
        <v>375</v>
      </c>
      <c r="B27" s="24" t="s">
        <v>99</v>
      </c>
      <c r="C27" s="24" t="s">
        <v>101</v>
      </c>
      <c r="D27" s="377">
        <v>20</v>
      </c>
      <c r="E27" s="305">
        <v>1.6201278603757828E-2</v>
      </c>
      <c r="F27" s="305">
        <v>2.0723390619721574E-2</v>
      </c>
      <c r="G27" s="305">
        <v>1.6244584968952706E-2</v>
      </c>
      <c r="H27" s="305">
        <v>2.072338963515909E-2</v>
      </c>
      <c r="I27" s="305">
        <v>1.8473160956897806E-2</v>
      </c>
      <c r="J27" s="305">
        <v>3.2319821820673597E-2</v>
      </c>
      <c r="K27" s="305">
        <v>3.9975564573320299E-2</v>
      </c>
      <c r="L27" s="305">
        <v>3.2400223201276397E-2</v>
      </c>
      <c r="M27" s="305">
        <v>3.9975556502274801E-2</v>
      </c>
      <c r="N27" s="305">
        <v>3.6167791524386303E-2</v>
      </c>
      <c r="O27" s="305">
        <v>1.8506538888208517</v>
      </c>
      <c r="P27" s="305">
        <v>1.8568052962621668</v>
      </c>
      <c r="Q27" s="305">
        <v>1.8658602968096598</v>
      </c>
      <c r="R27" s="305">
        <v>1.8568048996396218</v>
      </c>
      <c r="S27" s="305">
        <v>1.8575310953830748</v>
      </c>
      <c r="T27" s="305">
        <v>3.0705828932742962</v>
      </c>
      <c r="U27" s="305">
        <v>3.1042848569254646</v>
      </c>
      <c r="V27" s="305">
        <v>3.1042845410965429</v>
      </c>
      <c r="W27" s="305">
        <v>3.1042848843672362</v>
      </c>
      <c r="X27" s="305">
        <v>3.0958592939158849</v>
      </c>
    </row>
    <row r="28" spans="1:24" x14ac:dyDescent="0.35">
      <c r="A28" s="24" t="s">
        <v>375</v>
      </c>
      <c r="B28" s="24" t="s">
        <v>99</v>
      </c>
      <c r="C28" s="24" t="s">
        <v>101</v>
      </c>
      <c r="D28" s="377">
        <v>25</v>
      </c>
      <c r="E28" s="305">
        <v>1.5613172507230016E-2</v>
      </c>
      <c r="F28" s="305">
        <v>1.9478701719965297E-2</v>
      </c>
      <c r="G28" s="305">
        <v>1.5655457156715433E-2</v>
      </c>
      <c r="H28" s="305">
        <v>1.947869881938712E-2</v>
      </c>
      <c r="I28" s="305">
        <v>1.7556507550824441E-2</v>
      </c>
      <c r="J28" s="305">
        <v>3.0345855761652201E-2</v>
      </c>
      <c r="K28" s="305">
        <v>3.71185645543761E-2</v>
      </c>
      <c r="L28" s="305">
        <v>3.0422774698204501E-2</v>
      </c>
      <c r="M28" s="305">
        <v>3.7118564553959198E-2</v>
      </c>
      <c r="N28" s="305">
        <v>3.3751439892047999E-2</v>
      </c>
      <c r="O28" s="305">
        <v>1.4992745450008189</v>
      </c>
      <c r="P28" s="305">
        <v>1.4932678542766264</v>
      </c>
      <c r="Q28" s="305">
        <v>1.5114172872920004</v>
      </c>
      <c r="R28" s="305">
        <v>1.4932679020663433</v>
      </c>
      <c r="S28" s="305">
        <v>1.4993068971589485</v>
      </c>
      <c r="T28" s="305">
        <v>2.6249651233957771</v>
      </c>
      <c r="U28" s="305">
        <v>2.6545532504676452</v>
      </c>
      <c r="V28" s="305">
        <v>2.6545535478483164</v>
      </c>
      <c r="W28" s="305">
        <v>2.6545535798948325</v>
      </c>
      <c r="X28" s="305">
        <v>2.647156375401639</v>
      </c>
    </row>
    <row r="29" spans="1:24" x14ac:dyDescent="0.35">
      <c r="A29" s="24" t="s">
        <v>375</v>
      </c>
      <c r="B29" s="24" t="s">
        <v>99</v>
      </c>
      <c r="C29" s="24" t="s">
        <v>101</v>
      </c>
      <c r="D29" s="377">
        <v>30</v>
      </c>
      <c r="E29" s="305">
        <v>1.5486483964246891E-2</v>
      </c>
      <c r="F29" s="305">
        <v>1.7507117298670681E-2</v>
      </c>
      <c r="G29" s="305">
        <v>1.5453682276712285E-2</v>
      </c>
      <c r="H29" s="305">
        <v>1.7507115552602738E-2</v>
      </c>
      <c r="I29" s="305">
        <v>1.6488599773058114E-2</v>
      </c>
      <c r="J29" s="305">
        <v>2.9490003987528199E-2</v>
      </c>
      <c r="K29" s="305">
        <v>3.3176787210839102E-2</v>
      </c>
      <c r="L29" s="305">
        <v>2.9431206518834001E-2</v>
      </c>
      <c r="M29" s="305">
        <v>3.31767955928228E-2</v>
      </c>
      <c r="N29" s="305">
        <v>3.1318698327506E-2</v>
      </c>
      <c r="O29" s="305">
        <v>1.3375924416370151</v>
      </c>
      <c r="P29" s="305">
        <v>1.2411287189285731</v>
      </c>
      <c r="Q29" s="305">
        <v>1.3362783574642652</v>
      </c>
      <c r="R29" s="305">
        <v>1.2411286745863999</v>
      </c>
      <c r="S29" s="305">
        <v>1.2890320481540634</v>
      </c>
      <c r="T29" s="305">
        <v>2.3594267574329062</v>
      </c>
      <c r="U29" s="305">
        <v>2.3578236613648276</v>
      </c>
      <c r="V29" s="305">
        <v>2.3578233329949785</v>
      </c>
      <c r="W29" s="305">
        <v>2.3578236672104582</v>
      </c>
      <c r="X29" s="305">
        <v>2.3582243547507891</v>
      </c>
    </row>
    <row r="30" spans="1:24" x14ac:dyDescent="0.35">
      <c r="A30" s="24" t="s">
        <v>375</v>
      </c>
      <c r="B30" s="24" t="s">
        <v>99</v>
      </c>
      <c r="C30" s="24" t="s">
        <v>101</v>
      </c>
      <c r="D30" s="377">
        <v>35</v>
      </c>
      <c r="E30" s="305">
        <v>1.571065629547742E-2</v>
      </c>
      <c r="F30" s="305">
        <v>1.6921390576442756E-2</v>
      </c>
      <c r="G30" s="305">
        <v>1.571065416996488E-2</v>
      </c>
      <c r="H30" s="305">
        <v>1.6667931392922771E-2</v>
      </c>
      <c r="I30" s="305">
        <v>1.6252658108701978E-2</v>
      </c>
      <c r="J30" s="305">
        <v>2.95499985714258E-2</v>
      </c>
      <c r="K30" s="305">
        <v>3.17521140448183E-2</v>
      </c>
      <c r="L30" s="305">
        <v>2.9549998571468401E-2</v>
      </c>
      <c r="M30" s="305">
        <v>3.1421605327703099E-2</v>
      </c>
      <c r="N30" s="305">
        <v>3.0568429128853901E-2</v>
      </c>
      <c r="O30" s="305">
        <v>1.0692739732249203</v>
      </c>
      <c r="P30" s="305">
        <v>1.0236053569222809</v>
      </c>
      <c r="Q30" s="305">
        <v>1.0692742052992494</v>
      </c>
      <c r="R30" s="305">
        <v>1.023605109295429</v>
      </c>
      <c r="S30" s="305">
        <v>1.0464396611854729</v>
      </c>
      <c r="T30" s="305">
        <v>1.8453634600063951</v>
      </c>
      <c r="U30" s="305">
        <v>1.8453640436478553</v>
      </c>
      <c r="V30" s="305">
        <v>1.8453637554055822</v>
      </c>
      <c r="W30" s="305">
        <v>1.8453640398476805</v>
      </c>
      <c r="X30" s="305">
        <v>1.8453638247268764</v>
      </c>
    </row>
    <row r="31" spans="1:24" x14ac:dyDescent="0.35">
      <c r="A31" s="24" t="s">
        <v>375</v>
      </c>
      <c r="B31" s="24" t="s">
        <v>99</v>
      </c>
      <c r="C31" s="24" t="s">
        <v>101</v>
      </c>
      <c r="D31" s="377">
        <v>40</v>
      </c>
      <c r="E31" s="305">
        <v>1.5942392199332838E-2</v>
      </c>
      <c r="F31" s="305">
        <v>1.6685355255837662E-2</v>
      </c>
      <c r="G31" s="305">
        <v>1.5942389663037192E-2</v>
      </c>
      <c r="H31" s="305">
        <v>1.6184729564516432E-2</v>
      </c>
      <c r="I31" s="305">
        <v>1.6188716670681041E-2</v>
      </c>
      <c r="J31" s="305">
        <v>2.9719491627735298E-2</v>
      </c>
      <c r="K31" s="305">
        <v>3.1028982266306501E-2</v>
      </c>
      <c r="L31" s="305">
        <v>2.97194916277779E-2</v>
      </c>
      <c r="M31" s="305">
        <v>3.03761854031681E-2</v>
      </c>
      <c r="N31" s="305">
        <v>3.0211037731247E-2</v>
      </c>
      <c r="O31" s="305">
        <v>0.89895481245998454</v>
      </c>
      <c r="P31" s="305">
        <v>0.86882156969433899</v>
      </c>
      <c r="Q31" s="305">
        <v>0.89895482825613116</v>
      </c>
      <c r="R31" s="305">
        <v>0.86882150808308545</v>
      </c>
      <c r="S31" s="305">
        <v>0.88388817962338395</v>
      </c>
      <c r="T31" s="305">
        <v>1.6096811404663072</v>
      </c>
      <c r="U31" s="305">
        <v>1.6096817570695325</v>
      </c>
      <c r="V31" s="305">
        <v>1.6096817580116627</v>
      </c>
      <c r="W31" s="305">
        <v>1.6096817419978513</v>
      </c>
      <c r="X31" s="305">
        <v>1.6096815993863367</v>
      </c>
    </row>
    <row r="32" spans="1:24" x14ac:dyDescent="0.35">
      <c r="A32" s="24" t="s">
        <v>375</v>
      </c>
      <c r="B32" s="24" t="s">
        <v>99</v>
      </c>
      <c r="C32" s="24" t="s">
        <v>101</v>
      </c>
      <c r="D32" s="377">
        <v>45</v>
      </c>
      <c r="E32" s="305">
        <v>1.6122621510610259E-2</v>
      </c>
      <c r="F32" s="305">
        <v>1.650176057236399E-2</v>
      </c>
      <c r="G32" s="305">
        <v>1.6122618571206997E-2</v>
      </c>
      <c r="H32" s="305">
        <v>1.5939324056253638E-2</v>
      </c>
      <c r="I32" s="305">
        <v>1.6171581177608738E-2</v>
      </c>
      <c r="J32" s="305">
        <v>2.98513144812915E-2</v>
      </c>
      <c r="K32" s="305">
        <v>3.04665356684405E-2</v>
      </c>
      <c r="L32" s="305">
        <v>2.9851314481208601E-2</v>
      </c>
      <c r="M32" s="305">
        <v>2.9700788788045902E-2</v>
      </c>
      <c r="N32" s="305">
        <v>2.9967488354746601E-2</v>
      </c>
      <c r="O32" s="305">
        <v>0.76650402915032845</v>
      </c>
      <c r="P32" s="305">
        <v>0.74844860749315301</v>
      </c>
      <c r="Q32" s="305">
        <v>0.766503964033318</v>
      </c>
      <c r="R32" s="305">
        <v>0.74844862517819344</v>
      </c>
      <c r="S32" s="305">
        <v>0.75747630646374797</v>
      </c>
      <c r="T32" s="305">
        <v>1.4262822184242665</v>
      </c>
      <c r="U32" s="305">
        <v>1.4262825230932168</v>
      </c>
      <c r="V32" s="305">
        <v>1.4262825155038961</v>
      </c>
      <c r="W32" s="305">
        <v>1.4262825100000884</v>
      </c>
      <c r="X32" s="305">
        <v>1.4262824417553635</v>
      </c>
    </row>
    <row r="33" spans="1:24" x14ac:dyDescent="0.35">
      <c r="A33" s="24" t="s">
        <v>375</v>
      </c>
      <c r="B33" s="24" t="s">
        <v>99</v>
      </c>
      <c r="C33" s="24" t="s">
        <v>101</v>
      </c>
      <c r="D33" s="377">
        <v>50</v>
      </c>
      <c r="E33" s="305">
        <v>1.6065009282304636E-2</v>
      </c>
      <c r="F33" s="305">
        <v>1.6396914824648924E-2</v>
      </c>
      <c r="G33" s="305">
        <v>1.6030157450103756E-2</v>
      </c>
      <c r="H33" s="305">
        <v>1.5964104644672971E-2</v>
      </c>
      <c r="I33" s="305">
        <v>1.6114046550432561E-2</v>
      </c>
      <c r="J33" s="305">
        <v>2.96257834153929E-2</v>
      </c>
      <c r="K33" s="305">
        <v>3.01014738073111E-2</v>
      </c>
      <c r="L33" s="305">
        <v>2.9564293624818001E-2</v>
      </c>
      <c r="M33" s="305">
        <v>2.9393993177057098E-2</v>
      </c>
      <c r="N33" s="305">
        <v>2.9671386006144801E-2</v>
      </c>
      <c r="O33" s="305">
        <v>0.66136432199146133</v>
      </c>
      <c r="P33" s="305">
        <v>0.65226957990907686</v>
      </c>
      <c r="Q33" s="305">
        <v>0.66070695357014653</v>
      </c>
      <c r="R33" s="305">
        <v>0.65226963840551533</v>
      </c>
      <c r="S33" s="305">
        <v>0.65665262346905007</v>
      </c>
      <c r="T33" s="305">
        <v>1.2015057245498968</v>
      </c>
      <c r="U33" s="305">
        <v>1.200729641191993</v>
      </c>
      <c r="V33" s="305">
        <v>1.2007296466187474</v>
      </c>
      <c r="W33" s="305">
        <v>1.200729640577646</v>
      </c>
      <c r="X33" s="305">
        <v>1.2009236632345723</v>
      </c>
    </row>
    <row r="34" spans="1:24" x14ac:dyDescent="0.35">
      <c r="A34" s="24" t="s">
        <v>375</v>
      </c>
      <c r="B34" s="24" t="s">
        <v>99</v>
      </c>
      <c r="C34" s="24" t="s">
        <v>101</v>
      </c>
      <c r="D34" s="377">
        <v>55</v>
      </c>
      <c r="E34" s="305">
        <v>1.5891529765763277E-2</v>
      </c>
      <c r="F34" s="305">
        <v>1.6478766223705629E-2</v>
      </c>
      <c r="G34" s="305">
        <v>1.5891526036039581E-2</v>
      </c>
      <c r="H34" s="305">
        <v>1.6118659104444114E-2</v>
      </c>
      <c r="I34" s="305">
        <v>1.6095120282488166E-2</v>
      </c>
      <c r="J34" s="305">
        <v>2.92250255252497E-2</v>
      </c>
      <c r="K34" s="305">
        <v>3.0141429515666101E-2</v>
      </c>
      <c r="L34" s="305">
        <v>2.9225021411948601E-2</v>
      </c>
      <c r="M34" s="305">
        <v>2.9466776454206901E-2</v>
      </c>
      <c r="N34" s="305">
        <v>2.95145632267678E-2</v>
      </c>
      <c r="O34" s="305">
        <v>0.57414578177289721</v>
      </c>
      <c r="P34" s="305">
        <v>0.57357761312195488</v>
      </c>
      <c r="Q34" s="305">
        <v>0.57414583065321168</v>
      </c>
      <c r="R34" s="305">
        <v>0.57357756946804928</v>
      </c>
      <c r="S34" s="305">
        <v>0.57386169875402804</v>
      </c>
      <c r="T34" s="305">
        <v>0.98725777727778652</v>
      </c>
      <c r="U34" s="305">
        <v>0.98725777222432165</v>
      </c>
      <c r="V34" s="305">
        <v>0.98725779454323304</v>
      </c>
      <c r="W34" s="305">
        <v>0.98725777055302832</v>
      </c>
      <c r="X34" s="305">
        <v>0.98725777864958864</v>
      </c>
    </row>
    <row r="35" spans="1:24" x14ac:dyDescent="0.35">
      <c r="A35" s="24" t="s">
        <v>375</v>
      </c>
      <c r="B35" s="24" t="s">
        <v>99</v>
      </c>
      <c r="C35" s="24" t="s">
        <v>101</v>
      </c>
      <c r="D35" s="377">
        <v>60</v>
      </c>
      <c r="E35" s="305">
        <v>1.6070070508204349E-2</v>
      </c>
      <c r="F35" s="305">
        <v>1.660507057831042E-2</v>
      </c>
      <c r="G35" s="305">
        <v>1.5955462220977271E-2</v>
      </c>
      <c r="H35" s="305">
        <v>1.6487147275990148E-2</v>
      </c>
      <c r="I35" s="305">
        <v>1.6279437645870545E-2</v>
      </c>
      <c r="J35" s="305">
        <v>2.94633058590155E-2</v>
      </c>
      <c r="K35" s="305">
        <v>3.0372453716759836E-2</v>
      </c>
      <c r="L35" s="305">
        <v>2.9261352892494999E-2</v>
      </c>
      <c r="M35" s="305">
        <v>3.0140415527197328E-2</v>
      </c>
      <c r="N35" s="305">
        <v>2.9809381998866916E-2</v>
      </c>
      <c r="O35" s="305">
        <v>0.5224104062524122</v>
      </c>
      <c r="P35" s="305">
        <v>0.56752482446507313</v>
      </c>
      <c r="Q35" s="305">
        <v>0.51691605918512418</v>
      </c>
      <c r="R35" s="305">
        <v>0.56752427031197317</v>
      </c>
      <c r="S35" s="305">
        <v>0.54359389005364567</v>
      </c>
      <c r="T35" s="305">
        <v>0.94900336739434865</v>
      </c>
      <c r="U35" s="305">
        <v>0.96316438446818675</v>
      </c>
      <c r="V35" s="305">
        <v>0.9366067325275782</v>
      </c>
      <c r="W35" s="305">
        <v>0.9631632801408373</v>
      </c>
      <c r="X35" s="305">
        <v>0.95298444113273773</v>
      </c>
    </row>
    <row r="36" spans="1:24" x14ac:dyDescent="0.35">
      <c r="A36" s="24" t="s">
        <v>375</v>
      </c>
      <c r="B36" s="24" t="s">
        <v>99</v>
      </c>
      <c r="C36" s="24" t="s">
        <v>101</v>
      </c>
      <c r="D36" s="377">
        <v>65</v>
      </c>
      <c r="E36" s="305">
        <v>1.6654350766763141E-2</v>
      </c>
      <c r="F36" s="305">
        <v>1.69980529857101E-2</v>
      </c>
      <c r="G36" s="305">
        <v>1.6654347258233077E-2</v>
      </c>
      <c r="H36" s="305">
        <v>1.7036999322680511E-2</v>
      </c>
      <c r="I36" s="305">
        <v>1.6835937583346706E-2</v>
      </c>
      <c r="J36" s="305">
        <v>3.0476313918346799E-2</v>
      </c>
      <c r="K36" s="305">
        <v>3.1091260657324017E-2</v>
      </c>
      <c r="L36" s="305">
        <v>3.04763056140539E-2</v>
      </c>
      <c r="M36" s="305">
        <v>3.1145608777934042E-2</v>
      </c>
      <c r="N36" s="305">
        <v>3.079737224191469E-2</v>
      </c>
      <c r="O36" s="305">
        <v>0.56938119097250328</v>
      </c>
      <c r="P36" s="305">
        <v>0.62608032374479505</v>
      </c>
      <c r="Q36" s="305">
        <v>0.56938122866583507</v>
      </c>
      <c r="R36" s="305">
        <v>0.62607972181190652</v>
      </c>
      <c r="S36" s="305">
        <v>0.59773061629876001</v>
      </c>
      <c r="T36" s="305">
        <v>1.0293053686308267</v>
      </c>
      <c r="U36" s="305">
        <v>1.0080176925015005</v>
      </c>
      <c r="V36" s="305">
        <v>1.0293053299025476</v>
      </c>
      <c r="W36" s="305">
        <v>1.0080166642083961</v>
      </c>
      <c r="X36" s="305">
        <v>1.0186612638108179</v>
      </c>
    </row>
    <row r="37" spans="1:24" x14ac:dyDescent="0.35">
      <c r="A37" s="24" t="s">
        <v>375</v>
      </c>
      <c r="B37" s="24" t="s">
        <v>99</v>
      </c>
      <c r="C37" s="24" t="s">
        <v>101</v>
      </c>
      <c r="D37" s="377">
        <v>70</v>
      </c>
      <c r="E37" s="305">
        <v>1.7871844200285963E-2</v>
      </c>
      <c r="F37" s="305">
        <v>1.8081289572869239E-2</v>
      </c>
      <c r="G37" s="305">
        <v>1.7871840683845674E-2</v>
      </c>
      <c r="H37" s="305">
        <v>1.8122664919093544E-2</v>
      </c>
      <c r="I37" s="305">
        <v>1.7986909844023607E-2</v>
      </c>
      <c r="J37" s="305">
        <v>3.2647833684781802E-2</v>
      </c>
      <c r="K37" s="305">
        <v>3.3072616469853149E-2</v>
      </c>
      <c r="L37" s="305">
        <v>3.2647829493830202E-2</v>
      </c>
      <c r="M37" s="305">
        <v>3.3130331280360172E-2</v>
      </c>
      <c r="N37" s="305">
        <v>3.2874652732206334E-2</v>
      </c>
      <c r="O37" s="305">
        <v>0.62240097298957298</v>
      </c>
      <c r="P37" s="305">
        <v>0.68152115441758343</v>
      </c>
      <c r="Q37" s="305">
        <v>0.62240097464768918</v>
      </c>
      <c r="R37" s="305">
        <v>0.68152073732239837</v>
      </c>
      <c r="S37" s="305">
        <v>0.65196095984431102</v>
      </c>
      <c r="T37" s="305">
        <v>1.1093089953227342</v>
      </c>
      <c r="U37" s="305">
        <v>1.0480434599229036</v>
      </c>
      <c r="V37" s="305">
        <v>1.1093089976363701</v>
      </c>
      <c r="W37" s="305">
        <v>1.048041909208542</v>
      </c>
      <c r="X37" s="305">
        <v>1.0786758405226375</v>
      </c>
    </row>
    <row r="38" spans="1:24" x14ac:dyDescent="0.35">
      <c r="A38" s="24" t="s">
        <v>375</v>
      </c>
      <c r="B38" s="24" t="s">
        <v>99</v>
      </c>
      <c r="C38" s="24" t="s">
        <v>101</v>
      </c>
      <c r="D38" s="377">
        <v>75</v>
      </c>
      <c r="E38" s="305">
        <v>1.8805074497733748E-2</v>
      </c>
      <c r="F38" s="305">
        <v>1.9568354244441137E-2</v>
      </c>
      <c r="G38" s="305">
        <v>1.9155703273132124E-2</v>
      </c>
      <c r="H38" s="305">
        <v>1.9613082695396938E-2</v>
      </c>
      <c r="I38" s="305">
        <v>1.9285553677675989E-2</v>
      </c>
      <c r="J38" s="305">
        <v>3.4352635226202313E-2</v>
      </c>
      <c r="K38" s="305">
        <v>3.5792617128576142E-2</v>
      </c>
      <c r="L38" s="305">
        <v>3.4993157412202859E-2</v>
      </c>
      <c r="M38" s="305">
        <v>3.5854987664810885E-2</v>
      </c>
      <c r="N38" s="305">
        <v>3.5248349357948044E-2</v>
      </c>
      <c r="O38" s="305">
        <v>0.62577764473805875</v>
      </c>
      <c r="P38" s="305">
        <v>0.68843759136458194</v>
      </c>
      <c r="Q38" s="305">
        <v>0.627512500916243</v>
      </c>
      <c r="R38" s="305">
        <v>0.68843669390350093</v>
      </c>
      <c r="S38" s="305">
        <v>0.65754110773059615</v>
      </c>
      <c r="T38" s="305">
        <v>1.081548039114659</v>
      </c>
      <c r="U38" s="305">
        <v>1.0179265091839469</v>
      </c>
      <c r="V38" s="305">
        <v>1.0790956776605036</v>
      </c>
      <c r="W38" s="305">
        <v>1.0179253636630252</v>
      </c>
      <c r="X38" s="305">
        <v>1.0491238974055337</v>
      </c>
    </row>
    <row r="39" spans="1:24" x14ac:dyDescent="0.35">
      <c r="A39" s="24" t="s">
        <v>375</v>
      </c>
      <c r="B39" s="24" t="s">
        <v>99</v>
      </c>
      <c r="C39" s="24" t="s">
        <v>102</v>
      </c>
      <c r="D39" s="306" t="s">
        <v>376</v>
      </c>
      <c r="E39" s="307">
        <v>9.4964094718035918E-4</v>
      </c>
      <c r="F39" s="307">
        <v>1.0160823948870698E-3</v>
      </c>
      <c r="G39" s="307">
        <v>8.7859710692755346E-4</v>
      </c>
      <c r="H39" s="307">
        <v>1.1152145790460867E-3</v>
      </c>
      <c r="I39" s="307">
        <v>9.678746163788055E-4</v>
      </c>
      <c r="J39" s="307">
        <v>1.5080225209658179E-3</v>
      </c>
      <c r="K39" s="307">
        <v>1.6145125749971979E-3</v>
      </c>
      <c r="L39" s="307">
        <v>1.3797859021906281E-3</v>
      </c>
      <c r="M39" s="307">
        <v>1.76066696391596E-3</v>
      </c>
      <c r="N39" s="307">
        <v>1.493639164800696E-3</v>
      </c>
      <c r="O39" s="307">
        <v>6.4055204342084336E-3</v>
      </c>
      <c r="P39" s="307">
        <v>8.9001210345632381E-3</v>
      </c>
      <c r="Q39" s="307">
        <v>7.021538541746232E-3</v>
      </c>
      <c r="R39" s="307">
        <v>1.1510996334245592E-2</v>
      </c>
      <c r="S39" s="307">
        <v>8.9412284784204446E-3</v>
      </c>
      <c r="T39" s="307">
        <v>1.3212940384628606E-2</v>
      </c>
      <c r="U39" s="307">
        <v>1.8908489203274571E-2</v>
      </c>
      <c r="V39" s="307">
        <v>1.4182963750999415E-2</v>
      </c>
      <c r="W39" s="307">
        <v>2.6262124434475172E-2</v>
      </c>
      <c r="X39" s="307">
        <v>1.9209395327366045E-2</v>
      </c>
    </row>
    <row r="40" spans="1:24" x14ac:dyDescent="0.35">
      <c r="A40" s="24" t="s">
        <v>375</v>
      </c>
      <c r="B40" s="24" t="s">
        <v>99</v>
      </c>
      <c r="C40" s="24" t="s">
        <v>102</v>
      </c>
      <c r="D40" s="377">
        <v>2.5</v>
      </c>
      <c r="E40" s="305">
        <v>5.1795782680940476E-3</v>
      </c>
      <c r="F40" s="305">
        <v>6.1246624830592986E-3</v>
      </c>
      <c r="G40" s="305">
        <v>4.9073697282603392E-3</v>
      </c>
      <c r="H40" s="305">
        <v>4.9073697270127807E-3</v>
      </c>
      <c r="I40" s="305">
        <v>5.2797450516066163E-3</v>
      </c>
      <c r="J40" s="305">
        <v>7.4094676373949245E-3</v>
      </c>
      <c r="K40" s="305">
        <v>9.5076272213661332E-3</v>
      </c>
      <c r="L40" s="305">
        <v>6.1366898310855804E-3</v>
      </c>
      <c r="M40" s="305">
        <v>6.13668982259696E-3</v>
      </c>
      <c r="N40" s="305">
        <v>7.2976186281108989E-3</v>
      </c>
      <c r="O40" s="305">
        <v>6.0339942247073286E-2</v>
      </c>
      <c r="P40" s="305">
        <v>7.9389520762189483E-2</v>
      </c>
      <c r="Q40" s="305">
        <v>5.5551956657924881E-2</v>
      </c>
      <c r="R40" s="305">
        <v>5.4271235693281947E-2</v>
      </c>
      <c r="S40" s="305">
        <v>6.2388163840117403E-2</v>
      </c>
      <c r="T40" s="305">
        <v>0.13248135724756954</v>
      </c>
      <c r="U40" s="305">
        <v>0.13172887262209418</v>
      </c>
      <c r="V40" s="305">
        <v>0.10447577287447733</v>
      </c>
      <c r="W40" s="305">
        <v>0.10431723981141085</v>
      </c>
      <c r="X40" s="305">
        <v>0.11825081063888797</v>
      </c>
    </row>
    <row r="41" spans="1:24" x14ac:dyDescent="0.35">
      <c r="A41" s="24" t="s">
        <v>375</v>
      </c>
      <c r="B41" s="24" t="s">
        <v>99</v>
      </c>
      <c r="C41" s="24" t="s">
        <v>102</v>
      </c>
      <c r="D41" s="377">
        <v>5</v>
      </c>
      <c r="E41" s="305">
        <v>2.8957061559059397E-3</v>
      </c>
      <c r="F41" s="305">
        <v>3.4237159479686956E-3</v>
      </c>
      <c r="G41" s="305">
        <v>2.8996023342710321E-3</v>
      </c>
      <c r="H41" s="305">
        <v>2.9368018463130337E-3</v>
      </c>
      <c r="I41" s="305">
        <v>3.0389565711146753E-3</v>
      </c>
      <c r="J41" s="305">
        <v>4.1423528980643149E-3</v>
      </c>
      <c r="K41" s="305">
        <v>5.314809597291136E-3</v>
      </c>
      <c r="L41" s="305">
        <v>3.8030160144444298E-3</v>
      </c>
      <c r="M41" s="305">
        <v>3.9664334171902703E-3</v>
      </c>
      <c r="N41" s="305">
        <v>4.3066529817475377E-3</v>
      </c>
      <c r="O41" s="305">
        <v>3.1784080024102448E-2</v>
      </c>
      <c r="P41" s="305">
        <v>4.0136418756198097E-2</v>
      </c>
      <c r="Q41" s="305">
        <v>3.166917057670833E-2</v>
      </c>
      <c r="R41" s="305">
        <v>3.0854824459811851E-2</v>
      </c>
      <c r="S41" s="305">
        <v>3.361112345420518E-2</v>
      </c>
      <c r="T41" s="305">
        <v>6.8226469958937455E-2</v>
      </c>
      <c r="U41" s="305">
        <v>6.6322971419792792E-2</v>
      </c>
      <c r="V41" s="305">
        <v>5.7622300580315387E-2</v>
      </c>
      <c r="W41" s="305">
        <v>5.7568371666173339E-2</v>
      </c>
      <c r="X41" s="305">
        <v>6.243502840630475E-2</v>
      </c>
    </row>
    <row r="42" spans="1:24" x14ac:dyDescent="0.35">
      <c r="A42" s="24" t="s">
        <v>375</v>
      </c>
      <c r="B42" s="24" t="s">
        <v>99</v>
      </c>
      <c r="C42" s="24" t="s">
        <v>102</v>
      </c>
      <c r="D42" s="377">
        <v>10</v>
      </c>
      <c r="E42" s="305">
        <v>1.7186847079679315E-3</v>
      </c>
      <c r="F42" s="305">
        <v>2.0732390594785811E-3</v>
      </c>
      <c r="G42" s="305">
        <v>1.8036924772732339E-3</v>
      </c>
      <c r="H42" s="305">
        <v>1.9515130300769437E-3</v>
      </c>
      <c r="I42" s="305">
        <v>1.8867823186991726E-3</v>
      </c>
      <c r="J42" s="305">
        <v>2.4586053271977906E-3</v>
      </c>
      <c r="K42" s="305">
        <v>3.2183951642755742E-3</v>
      </c>
      <c r="L42" s="305">
        <v>2.5087044205065398E-3</v>
      </c>
      <c r="M42" s="305">
        <v>2.88129970734492E-3</v>
      </c>
      <c r="N42" s="305">
        <v>2.7667511548312065E-3</v>
      </c>
      <c r="O42" s="305">
        <v>1.9322126586872455E-2</v>
      </c>
      <c r="P42" s="305">
        <v>2.2828570678298441E-2</v>
      </c>
      <c r="Q42" s="305">
        <v>2.0181214833831972E-2</v>
      </c>
      <c r="R42" s="305">
        <v>2.0681437735554385E-2</v>
      </c>
      <c r="S42" s="305">
        <v>2.0753337458639314E-2</v>
      </c>
      <c r="T42" s="305">
        <v>3.9752229647785492E-2</v>
      </c>
      <c r="U42" s="305">
        <v>3.9423217888770012E-2</v>
      </c>
      <c r="V42" s="305">
        <v>3.7591872939495667E-2</v>
      </c>
      <c r="W42" s="305">
        <v>3.7586788716247807E-2</v>
      </c>
      <c r="X42" s="305">
        <v>3.8588527298074743E-2</v>
      </c>
    </row>
    <row r="43" spans="1:24" x14ac:dyDescent="0.35">
      <c r="A43" s="24" t="s">
        <v>375</v>
      </c>
      <c r="B43" s="24" t="s">
        <v>99</v>
      </c>
      <c r="C43" s="24" t="s">
        <v>102</v>
      </c>
      <c r="D43" s="377">
        <v>15</v>
      </c>
      <c r="E43" s="305">
        <v>1.3018711891039619E-3</v>
      </c>
      <c r="F43" s="305">
        <v>1.6230810535972048E-3</v>
      </c>
      <c r="G43" s="305">
        <v>1.2602597156956006E-3</v>
      </c>
      <c r="H43" s="305">
        <v>1.6230810535972048E-3</v>
      </c>
      <c r="I43" s="305">
        <v>1.4520732529984932E-3</v>
      </c>
      <c r="J43" s="305">
        <v>1.8623470762364205E-3</v>
      </c>
      <c r="K43" s="305">
        <v>2.5195918387908001E-3</v>
      </c>
      <c r="L43" s="305">
        <v>1.8305225958101801E-3</v>
      </c>
      <c r="M43" s="305">
        <v>2.5195918387908001E-3</v>
      </c>
      <c r="N43" s="305">
        <v>2.1830133374070504E-3</v>
      </c>
      <c r="O43" s="305">
        <v>1.5530386746642795E-2</v>
      </c>
      <c r="P43" s="305">
        <v>1.7373041311954673E-2</v>
      </c>
      <c r="Q43" s="305">
        <v>1.6178771384350987E-2</v>
      </c>
      <c r="R43" s="305">
        <v>1.7373050573888882E-2</v>
      </c>
      <c r="S43" s="305">
        <v>1.6613812504209333E-2</v>
      </c>
      <c r="T43" s="305">
        <v>3.3780955683128333E-2</v>
      </c>
      <c r="U43" s="305">
        <v>3.3846887148058509E-2</v>
      </c>
      <c r="V43" s="305">
        <v>3.3846892968007074E-2</v>
      </c>
      <c r="W43" s="305">
        <v>3.3846886796486217E-2</v>
      </c>
      <c r="X43" s="305">
        <v>3.3830405648920037E-2</v>
      </c>
    </row>
    <row r="44" spans="1:24" x14ac:dyDescent="0.35">
      <c r="A44" s="24" t="s">
        <v>375</v>
      </c>
      <c r="B44" s="24" t="s">
        <v>99</v>
      </c>
      <c r="C44" s="24" t="s">
        <v>102</v>
      </c>
      <c r="D44" s="377">
        <v>20</v>
      </c>
      <c r="E44" s="305">
        <v>1.0229860553809976E-3</v>
      </c>
      <c r="F44" s="305">
        <v>1.4167940433193053E-3</v>
      </c>
      <c r="G44" s="305">
        <v>1.0229856863493312E-3</v>
      </c>
      <c r="H44" s="305">
        <v>1.4167941449925504E-3</v>
      </c>
      <c r="I44" s="305">
        <v>1.219889982510548E-3</v>
      </c>
      <c r="J44" s="305">
        <v>1.4633975351898601E-3</v>
      </c>
      <c r="K44" s="305">
        <v>2.25448735363897E-3</v>
      </c>
      <c r="L44" s="305">
        <v>1.46339753769098E-3</v>
      </c>
      <c r="M44" s="305">
        <v>2.25448777079388E-3</v>
      </c>
      <c r="N44" s="305">
        <v>1.8589425493284199E-3</v>
      </c>
      <c r="O44" s="305">
        <v>1.3820238051142516E-2</v>
      </c>
      <c r="P44" s="305">
        <v>1.4836454938886558E-2</v>
      </c>
      <c r="Q44" s="305">
        <v>1.3820242634676646E-2</v>
      </c>
      <c r="R44" s="305">
        <v>1.4836456193887066E-2</v>
      </c>
      <c r="S44" s="305">
        <v>1.4328347954648147E-2</v>
      </c>
      <c r="T44" s="305">
        <v>2.9970529285422074E-2</v>
      </c>
      <c r="U44" s="305">
        <v>2.9970514779878631E-2</v>
      </c>
      <c r="V44" s="305">
        <v>2.9970522783011194E-2</v>
      </c>
      <c r="W44" s="305">
        <v>2.9970520370849338E-2</v>
      </c>
      <c r="X44" s="305">
        <v>2.9970521804790318E-2</v>
      </c>
    </row>
    <row r="45" spans="1:24" x14ac:dyDescent="0.35">
      <c r="A45" s="24" t="s">
        <v>375</v>
      </c>
      <c r="B45" s="24" t="s">
        <v>99</v>
      </c>
      <c r="C45" s="24" t="s">
        <v>102</v>
      </c>
      <c r="D45" s="377">
        <v>25</v>
      </c>
      <c r="E45" s="305">
        <v>9.7194578290816169E-4</v>
      </c>
      <c r="F45" s="305">
        <v>1.2083128502294648E-3</v>
      </c>
      <c r="G45" s="305">
        <v>9.719451066408255E-4</v>
      </c>
      <c r="H45" s="305">
        <v>1.2083128446451722E-3</v>
      </c>
      <c r="I45" s="305">
        <v>1.0901291461059054E-3</v>
      </c>
      <c r="J45" s="305">
        <v>1.4031974233148501E-3</v>
      </c>
      <c r="K45" s="305">
        <v>1.9258175004021401E-3</v>
      </c>
      <c r="L45" s="305">
        <v>1.40319742123059E-3</v>
      </c>
      <c r="M45" s="305">
        <v>1.9258179175570399E-3</v>
      </c>
      <c r="N45" s="305">
        <v>1.66450756562615E-3</v>
      </c>
      <c r="O45" s="305">
        <v>1.1963725287085964E-2</v>
      </c>
      <c r="P45" s="305">
        <v>1.2757360170069523E-2</v>
      </c>
      <c r="Q45" s="305">
        <v>1.1963723967016301E-2</v>
      </c>
      <c r="R45" s="305">
        <v>1.2757360831137706E-2</v>
      </c>
      <c r="S45" s="305">
        <v>1.2360542563827398E-2</v>
      </c>
      <c r="T45" s="305">
        <v>2.7507080360545826E-2</v>
      </c>
      <c r="U45" s="305">
        <v>2.7507074633219546E-2</v>
      </c>
      <c r="V45" s="305">
        <v>2.750707145383403E-2</v>
      </c>
      <c r="W45" s="305">
        <v>2.7507080269157689E-2</v>
      </c>
      <c r="X45" s="305">
        <v>2.7507076679189269E-2</v>
      </c>
    </row>
    <row r="46" spans="1:24" x14ac:dyDescent="0.35">
      <c r="A46" s="24" t="s">
        <v>375</v>
      </c>
      <c r="B46" s="24" t="s">
        <v>99</v>
      </c>
      <c r="C46" s="24" t="s">
        <v>102</v>
      </c>
      <c r="D46" s="377">
        <v>30</v>
      </c>
      <c r="E46" s="305">
        <v>9.4776957114405902E-4</v>
      </c>
      <c r="F46" s="305">
        <v>1.091940078200099E-3</v>
      </c>
      <c r="G46" s="305">
        <v>9.4776935134323575E-4</v>
      </c>
      <c r="H46" s="305">
        <v>1.0919400126463152E-3</v>
      </c>
      <c r="I46" s="305">
        <v>1.0198547533334262E-3</v>
      </c>
      <c r="J46" s="305">
        <v>1.38171462367608E-3</v>
      </c>
      <c r="K46" s="305">
        <v>1.7193792255056899E-3</v>
      </c>
      <c r="L46" s="305">
        <v>1.38171462367608E-3</v>
      </c>
      <c r="M46" s="305">
        <v>1.7193792255056899E-3</v>
      </c>
      <c r="N46" s="305">
        <v>1.5505469245908801E-3</v>
      </c>
      <c r="O46" s="305">
        <v>1.1516565338492511E-2</v>
      </c>
      <c r="P46" s="305">
        <v>1.1199405178986009E-2</v>
      </c>
      <c r="Q46" s="305">
        <v>1.1516565124786441E-2</v>
      </c>
      <c r="R46" s="305">
        <v>1.1199405210022564E-2</v>
      </c>
      <c r="S46" s="305">
        <v>1.1357985213071903E-2</v>
      </c>
      <c r="T46" s="305">
        <v>2.5950888014736623E-2</v>
      </c>
      <c r="U46" s="305">
        <v>2.5950882509159095E-2</v>
      </c>
      <c r="V46" s="305">
        <v>2.5950882559073987E-2</v>
      </c>
      <c r="W46" s="305">
        <v>2.5950885475804542E-2</v>
      </c>
      <c r="X46" s="305">
        <v>2.5950884639693545E-2</v>
      </c>
    </row>
    <row r="47" spans="1:24" x14ac:dyDescent="0.35">
      <c r="A47" s="24" t="s">
        <v>375</v>
      </c>
      <c r="B47" s="24" t="s">
        <v>99</v>
      </c>
      <c r="C47" s="24" t="s">
        <v>102</v>
      </c>
      <c r="D47" s="377">
        <v>35</v>
      </c>
      <c r="E47" s="305">
        <v>9.3878382874642305E-4</v>
      </c>
      <c r="F47" s="305">
        <v>1.041076086292992E-3</v>
      </c>
      <c r="G47" s="305">
        <v>9.3878367513077214E-4</v>
      </c>
      <c r="H47" s="305">
        <v>1.0135636549866752E-3</v>
      </c>
      <c r="I47" s="305">
        <v>9.8305181128921634E-4</v>
      </c>
      <c r="J47" s="305">
        <v>1.4017500697036599E-3</v>
      </c>
      <c r="K47" s="305">
        <v>1.64563692578667E-3</v>
      </c>
      <c r="L47" s="305">
        <v>1.4017500697036599E-3</v>
      </c>
      <c r="M47" s="305">
        <v>1.5852683009143201E-3</v>
      </c>
      <c r="N47" s="305">
        <v>1.5086013415270801E-3</v>
      </c>
      <c r="O47" s="305">
        <v>9.3153218677588696E-3</v>
      </c>
      <c r="P47" s="305">
        <v>9.6584780862559762E-3</v>
      </c>
      <c r="Q47" s="305">
        <v>9.3153219343609615E-3</v>
      </c>
      <c r="R47" s="305">
        <v>9.6584789151252948E-3</v>
      </c>
      <c r="S47" s="305">
        <v>9.4869002008752742E-3</v>
      </c>
      <c r="T47" s="305">
        <v>2.011210826875736E-2</v>
      </c>
      <c r="U47" s="305">
        <v>2.0112114021315852E-2</v>
      </c>
      <c r="V47" s="305">
        <v>2.0112114230227511E-2</v>
      </c>
      <c r="W47" s="305">
        <v>2.0112111668640169E-2</v>
      </c>
      <c r="X47" s="305">
        <v>2.0112112047235228E-2</v>
      </c>
    </row>
    <row r="48" spans="1:24" x14ac:dyDescent="0.35">
      <c r="A48" s="24" t="s">
        <v>375</v>
      </c>
      <c r="B48" s="24" t="s">
        <v>99</v>
      </c>
      <c r="C48" s="24" t="s">
        <v>102</v>
      </c>
      <c r="D48" s="377">
        <v>40</v>
      </c>
      <c r="E48" s="305">
        <v>9.3285048677050643E-4</v>
      </c>
      <c r="F48" s="305">
        <v>1.0098339720355893E-3</v>
      </c>
      <c r="G48" s="305">
        <v>9.3285038697822804E-4</v>
      </c>
      <c r="H48" s="305">
        <v>9.5549109996979692E-4</v>
      </c>
      <c r="I48" s="305">
        <v>9.5775648643853153E-4</v>
      </c>
      <c r="J48" s="305">
        <v>1.4202203742191401E-3</v>
      </c>
      <c r="K48" s="305">
        <v>1.60673148729983E-3</v>
      </c>
      <c r="L48" s="305">
        <v>1.42022037338544E-3</v>
      </c>
      <c r="M48" s="305">
        <v>1.48748528636133E-3</v>
      </c>
      <c r="N48" s="305">
        <v>1.48366438031644E-3</v>
      </c>
      <c r="O48" s="305">
        <v>8.444361973618442E-3</v>
      </c>
      <c r="P48" s="305">
        <v>8.7105317716400527E-3</v>
      </c>
      <c r="Q48" s="305">
        <v>8.4443622174308602E-3</v>
      </c>
      <c r="R48" s="305">
        <v>8.7105333577795485E-3</v>
      </c>
      <c r="S48" s="305">
        <v>8.5774473301172237E-3</v>
      </c>
      <c r="T48" s="305">
        <v>1.8607585953867804E-2</v>
      </c>
      <c r="U48" s="305">
        <v>1.8607582998764253E-2</v>
      </c>
      <c r="V48" s="305">
        <v>1.8607582593075527E-2</v>
      </c>
      <c r="W48" s="305">
        <v>1.8607585177438705E-2</v>
      </c>
      <c r="X48" s="305">
        <v>1.860758418078659E-2</v>
      </c>
    </row>
    <row r="49" spans="1:24" x14ac:dyDescent="0.35">
      <c r="A49" s="24" t="s">
        <v>375</v>
      </c>
      <c r="B49" s="24" t="s">
        <v>99</v>
      </c>
      <c r="C49" s="24" t="s">
        <v>102</v>
      </c>
      <c r="D49" s="377">
        <v>45</v>
      </c>
      <c r="E49" s="305">
        <v>9.2823481155037768E-4</v>
      </c>
      <c r="F49" s="305">
        <v>9.8553299021278472E-4</v>
      </c>
      <c r="G49" s="305">
        <v>9.2823461148007459E-4</v>
      </c>
      <c r="H49" s="305">
        <v>9.2283059040602986E-4</v>
      </c>
      <c r="I49" s="305">
        <v>9.412082509123159E-4</v>
      </c>
      <c r="J49" s="305">
        <v>1.4345816418123501E-3</v>
      </c>
      <c r="K49" s="305">
        <v>1.57646620300511E-3</v>
      </c>
      <c r="L49" s="305">
        <v>1.4345816413955E-3</v>
      </c>
      <c r="M49" s="305">
        <v>1.43023133966835E-3</v>
      </c>
      <c r="N49" s="305">
        <v>1.46896520647032E-3</v>
      </c>
      <c r="O49" s="305">
        <v>7.7713170666119406E-3</v>
      </c>
      <c r="P49" s="305">
        <v>7.9710416886735695E-3</v>
      </c>
      <c r="Q49" s="305">
        <v>7.7713171367289752E-3</v>
      </c>
      <c r="R49" s="305">
        <v>7.9710425468616994E-3</v>
      </c>
      <c r="S49" s="305">
        <v>7.8711796097190537E-3</v>
      </c>
      <c r="T49" s="305">
        <v>1.7439610817679415E-2</v>
      </c>
      <c r="U49" s="305">
        <v>1.7439610734858373E-2</v>
      </c>
      <c r="V49" s="305">
        <v>1.7439610678910946E-2</v>
      </c>
      <c r="W49" s="305">
        <v>1.7439610620493057E-2</v>
      </c>
      <c r="X49" s="305">
        <v>1.7439610712985481E-2</v>
      </c>
    </row>
    <row r="50" spans="1:24" x14ac:dyDescent="0.35">
      <c r="A50" s="24" t="s">
        <v>375</v>
      </c>
      <c r="B50" s="24" t="s">
        <v>99</v>
      </c>
      <c r="C50" s="24" t="s">
        <v>102</v>
      </c>
      <c r="D50" s="377">
        <v>50</v>
      </c>
      <c r="E50" s="305">
        <v>8.9780489804243814E-4</v>
      </c>
      <c r="F50" s="305">
        <v>9.660613847465154E-4</v>
      </c>
      <c r="G50" s="305">
        <v>8.9780463135278102E-4</v>
      </c>
      <c r="H50" s="305">
        <v>9.1790676115425835E-4</v>
      </c>
      <c r="I50" s="305">
        <v>9.1989441882399825E-4</v>
      </c>
      <c r="J50" s="305">
        <v>1.4024978164949599E-3</v>
      </c>
      <c r="K50" s="305">
        <v>1.5483533652513801E-3</v>
      </c>
      <c r="L50" s="305">
        <v>1.4024978156612601E-3</v>
      </c>
      <c r="M50" s="305">
        <v>1.41630453128982E-3</v>
      </c>
      <c r="N50" s="305">
        <v>1.4424133821743599E-3</v>
      </c>
      <c r="O50" s="305">
        <v>7.2684221263637763E-3</v>
      </c>
      <c r="P50" s="305">
        <v>7.361751556415122E-3</v>
      </c>
      <c r="Q50" s="305">
        <v>7.2684208215788339E-3</v>
      </c>
      <c r="R50" s="305">
        <v>7.3617517059083011E-3</v>
      </c>
      <c r="S50" s="305">
        <v>7.3150865525665118E-3</v>
      </c>
      <c r="T50" s="305">
        <v>1.5474413087939259E-2</v>
      </c>
      <c r="U50" s="305">
        <v>1.5474412010979117E-2</v>
      </c>
      <c r="V50" s="305">
        <v>1.5474412941506104E-2</v>
      </c>
      <c r="W50" s="305">
        <v>1.5474412497310479E-2</v>
      </c>
      <c r="X50" s="305">
        <v>1.5474412634433703E-2</v>
      </c>
    </row>
    <row r="51" spans="1:24" x14ac:dyDescent="0.35">
      <c r="A51" s="24" t="s">
        <v>375</v>
      </c>
      <c r="B51" s="24" t="s">
        <v>99</v>
      </c>
      <c r="C51" s="24" t="s">
        <v>102</v>
      </c>
      <c r="D51" s="377">
        <v>55</v>
      </c>
      <c r="E51" s="305">
        <v>8.6579212393952173E-4</v>
      </c>
      <c r="F51" s="305">
        <v>9.5000511919696748E-4</v>
      </c>
      <c r="G51" s="305">
        <v>8.6579209064406842E-4</v>
      </c>
      <c r="H51" s="305">
        <v>9.184691429911172E-4</v>
      </c>
      <c r="I51" s="305">
        <v>9.0001461919291849E-4</v>
      </c>
      <c r="J51" s="305">
        <v>1.3646446277941001E-3</v>
      </c>
      <c r="K51" s="305">
        <v>1.50980058697314E-3</v>
      </c>
      <c r="L51" s="305">
        <v>1.3646446265435401E-3</v>
      </c>
      <c r="M51" s="305">
        <v>1.42069313566632E-3</v>
      </c>
      <c r="N51" s="305">
        <v>1.4149457442442701E-3</v>
      </c>
      <c r="O51" s="305">
        <v>6.8569506788896924E-3</v>
      </c>
      <c r="P51" s="305">
        <v>6.8632348084295882E-3</v>
      </c>
      <c r="Q51" s="305">
        <v>6.8569503551911635E-3</v>
      </c>
      <c r="R51" s="305">
        <v>6.8632349639082667E-3</v>
      </c>
      <c r="S51" s="305">
        <v>6.8600927016046762E-3</v>
      </c>
      <c r="T51" s="305">
        <v>1.332199771484564E-2</v>
      </c>
      <c r="U51" s="305">
        <v>1.3321997634570112E-2</v>
      </c>
      <c r="V51" s="305">
        <v>1.3321997623994957E-2</v>
      </c>
      <c r="W51" s="305">
        <v>1.3321997856134755E-2</v>
      </c>
      <c r="X51" s="305">
        <v>1.332199770738635E-2</v>
      </c>
    </row>
    <row r="52" spans="1:24" x14ac:dyDescent="0.35">
      <c r="A52" s="24" t="s">
        <v>375</v>
      </c>
      <c r="B52" s="24" t="s">
        <v>99</v>
      </c>
      <c r="C52" s="24" t="s">
        <v>102</v>
      </c>
      <c r="D52" s="377">
        <v>60</v>
      </c>
      <c r="E52" s="305">
        <v>8.578739394183144E-4</v>
      </c>
      <c r="F52" s="305">
        <v>9.0775228860848082E-4</v>
      </c>
      <c r="G52" s="305">
        <v>8.5787367272865576E-4</v>
      </c>
      <c r="H52" s="305">
        <v>9.0317010661731525E-4</v>
      </c>
      <c r="I52" s="305">
        <v>8.5787380607348529E-4</v>
      </c>
      <c r="J52" s="305">
        <v>1.3613775114814999E-3</v>
      </c>
      <c r="K52" s="305">
        <v>1.4426500557447419E-3</v>
      </c>
      <c r="L52" s="305">
        <v>1.3613775106477901E-3</v>
      </c>
      <c r="M52" s="305">
        <v>1.3970285018302976E-3</v>
      </c>
      <c r="N52" s="305">
        <v>1.3906083949260825E-3</v>
      </c>
      <c r="O52" s="305">
        <v>6.4264193637168397E-3</v>
      </c>
      <c r="P52" s="305">
        <v>6.2988299769401413E-3</v>
      </c>
      <c r="Q52" s="305">
        <v>6.4264176202845982E-3</v>
      </c>
      <c r="R52" s="305">
        <v>6.2988964484095404E-3</v>
      </c>
      <c r="S52" s="305">
        <v>6.3626408523377804E-3</v>
      </c>
      <c r="T52" s="305">
        <v>1.2394831882545854E-2</v>
      </c>
      <c r="U52" s="305">
        <v>1.2167602775500205E-2</v>
      </c>
      <c r="V52" s="305">
        <v>1.2394833314823588E-2</v>
      </c>
      <c r="W52" s="305">
        <v>1.2167650472284739E-2</v>
      </c>
      <c r="X52" s="305">
        <v>1.2281229611288597E-2</v>
      </c>
    </row>
    <row r="53" spans="1:24" x14ac:dyDescent="0.35">
      <c r="A53" s="24" t="s">
        <v>375</v>
      </c>
      <c r="B53" s="24" t="s">
        <v>99</v>
      </c>
      <c r="C53" s="24" t="s">
        <v>102</v>
      </c>
      <c r="D53" s="377">
        <v>65</v>
      </c>
      <c r="E53" s="305">
        <v>9.1153696381382487E-4</v>
      </c>
      <c r="F53" s="305">
        <v>8.9135602137171283E-4</v>
      </c>
      <c r="G53" s="305">
        <v>9.115369710315682E-4</v>
      </c>
      <c r="H53" s="305">
        <v>9.0425143522937751E-4</v>
      </c>
      <c r="I53" s="305">
        <v>9.1153696742269708E-4</v>
      </c>
      <c r="J53" s="305">
        <v>1.4521877782650899E-3</v>
      </c>
      <c r="K53" s="305">
        <v>1.4165922025837338E-3</v>
      </c>
      <c r="L53" s="305">
        <v>1.4521877782650899E-3</v>
      </c>
      <c r="M53" s="305">
        <v>1.3987011068908814E-3</v>
      </c>
      <c r="N53" s="305">
        <v>1.4299172165011986E-3</v>
      </c>
      <c r="O53" s="305">
        <v>6.4024983242224262E-3</v>
      </c>
      <c r="P53" s="305">
        <v>6.4462462380140565E-3</v>
      </c>
      <c r="Q53" s="305">
        <v>6.4024979979889676E-3</v>
      </c>
      <c r="R53" s="305">
        <v>6.4466758630831542E-3</v>
      </c>
      <c r="S53" s="305">
        <v>6.4244796058271509E-3</v>
      </c>
      <c r="T53" s="305">
        <v>1.3001802810347652E-2</v>
      </c>
      <c r="U53" s="305">
        <v>1.2435123392849998E-2</v>
      </c>
      <c r="V53" s="305">
        <v>1.3001811043579489E-2</v>
      </c>
      <c r="W53" s="305">
        <v>1.2436240874142192E-2</v>
      </c>
      <c r="X53" s="305">
        <v>1.2718744530229833E-2</v>
      </c>
    </row>
    <row r="54" spans="1:24" x14ac:dyDescent="0.35">
      <c r="A54" s="24" t="s">
        <v>375</v>
      </c>
      <c r="B54" s="24" t="s">
        <v>99</v>
      </c>
      <c r="C54" s="24" t="s">
        <v>102</v>
      </c>
      <c r="D54" s="377">
        <v>70</v>
      </c>
      <c r="E54" s="305">
        <v>1.0067969222301606E-3</v>
      </c>
      <c r="F54" s="305">
        <v>9.2639387780670945E-4</v>
      </c>
      <c r="G54" s="305">
        <v>1.0067969205563179E-3</v>
      </c>
      <c r="H54" s="305">
        <v>9.4075158860633769E-4</v>
      </c>
      <c r="I54" s="305">
        <v>1.0067969213932392E-3</v>
      </c>
      <c r="J54" s="305">
        <v>1.5917746350169099E-3</v>
      </c>
      <c r="K54" s="305">
        <v>1.4722762985352952E-3</v>
      </c>
      <c r="L54" s="305">
        <v>1.5917746350169099E-3</v>
      </c>
      <c r="M54" s="305">
        <v>1.4551597454299408E-3</v>
      </c>
      <c r="N54" s="305">
        <v>1.527746328499764E-3</v>
      </c>
      <c r="O54" s="305">
        <v>6.4100535991874442E-3</v>
      </c>
      <c r="P54" s="305">
        <v>6.6240847281282891E-3</v>
      </c>
      <c r="Q54" s="305">
        <v>6.4100530746757098E-3</v>
      </c>
      <c r="R54" s="305">
        <v>6.6248453682437782E-3</v>
      </c>
      <c r="S54" s="305">
        <v>6.5172591925588049E-3</v>
      </c>
      <c r="T54" s="305">
        <v>1.3529646746050037E-2</v>
      </c>
      <c r="U54" s="305">
        <v>1.2671654942521038E-2</v>
      </c>
      <c r="V54" s="305">
        <v>1.352964645823555E-2</v>
      </c>
      <c r="W54" s="305">
        <v>1.26736898453949E-2</v>
      </c>
      <c r="X54" s="305">
        <v>1.3101159498050382E-2</v>
      </c>
    </row>
    <row r="55" spans="1:24" x14ac:dyDescent="0.35">
      <c r="A55" s="24" t="s">
        <v>375</v>
      </c>
      <c r="B55" s="24" t="s">
        <v>99</v>
      </c>
      <c r="C55" s="24" t="s">
        <v>102</v>
      </c>
      <c r="D55" s="377">
        <v>75</v>
      </c>
      <c r="E55" s="305">
        <v>9.9200418368447789E-4</v>
      </c>
      <c r="F55" s="305">
        <v>1.0299832974171271E-3</v>
      </c>
      <c r="G55" s="305">
        <v>1.0611235801535378E-3</v>
      </c>
      <c r="H55" s="305">
        <v>1.0472588347176012E-3</v>
      </c>
      <c r="I55" s="305">
        <v>1.032592473993186E-3</v>
      </c>
      <c r="J55" s="305">
        <v>1.5683868936764852E-3</v>
      </c>
      <c r="K55" s="305">
        <v>1.6369063235442325E-3</v>
      </c>
      <c r="L55" s="305">
        <v>1.6776666326843933E-3</v>
      </c>
      <c r="M55" s="305">
        <v>1.6199057410942266E-3</v>
      </c>
      <c r="N55" s="305">
        <v>1.6257163977498343E-3</v>
      </c>
      <c r="O55" s="305">
        <v>6.2657988892150761E-3</v>
      </c>
      <c r="P55" s="305">
        <v>6.5160795552618436E-3</v>
      </c>
      <c r="Q55" s="305">
        <v>6.2866534638154094E-3</v>
      </c>
      <c r="R55" s="305">
        <v>6.5169856037671598E-3</v>
      </c>
      <c r="S55" s="305">
        <v>6.3963793780148727E-3</v>
      </c>
      <c r="T55" s="305">
        <v>1.302971767945605E-2</v>
      </c>
      <c r="U55" s="305">
        <v>1.2205969387778549E-2</v>
      </c>
      <c r="V55" s="305">
        <v>1.3031033789590665E-2</v>
      </c>
      <c r="W55" s="305">
        <v>1.2208208118033848E-2</v>
      </c>
      <c r="X55" s="305">
        <v>1.2618732243714778E-2</v>
      </c>
    </row>
    <row r="56" spans="1:24" x14ac:dyDescent="0.35">
      <c r="A56" s="24" t="s">
        <v>375</v>
      </c>
      <c r="B56" s="24" t="s">
        <v>103</v>
      </c>
      <c r="C56" s="24" t="s">
        <v>101</v>
      </c>
      <c r="D56" s="306" t="s">
        <v>376</v>
      </c>
      <c r="E56" s="307">
        <v>1.6867943065816043E-2</v>
      </c>
      <c r="F56" s="307">
        <v>1.6529615581099694E-2</v>
      </c>
      <c r="G56" s="307">
        <v>1.5700695471651378E-2</v>
      </c>
      <c r="H56" s="307">
        <v>1.7731804768227243E-2</v>
      </c>
      <c r="I56" s="307">
        <v>1.5995456495301826E-2</v>
      </c>
      <c r="J56" s="307">
        <v>3.089917351664058E-2</v>
      </c>
      <c r="K56" s="307">
        <v>3.0918330036544178E-2</v>
      </c>
      <c r="L56" s="307">
        <v>2.8973616074023701E-2</v>
      </c>
      <c r="M56" s="307">
        <v>3.3818899210263861E-2</v>
      </c>
      <c r="N56" s="307">
        <v>3.0048147190216482E-2</v>
      </c>
      <c r="O56" s="307">
        <v>0.55653548646885298</v>
      </c>
      <c r="P56" s="307">
        <v>0.84981138880768914</v>
      </c>
      <c r="Q56" s="307">
        <v>0.57452713980462577</v>
      </c>
      <c r="R56" s="307">
        <v>1.2202999167915705</v>
      </c>
      <c r="S56" s="307">
        <v>0.8966293958770204</v>
      </c>
      <c r="T56" s="307">
        <v>0.99777306396487153</v>
      </c>
      <c r="U56" s="307">
        <v>1.56024797709379</v>
      </c>
      <c r="V56" s="307">
        <v>1.0091582957657215</v>
      </c>
      <c r="W56" s="307">
        <v>2.2764669328154388</v>
      </c>
      <c r="X56" s="307">
        <v>1.6047953753996009</v>
      </c>
    </row>
    <row r="57" spans="1:24" x14ac:dyDescent="0.35">
      <c r="A57" s="24" t="s">
        <v>375</v>
      </c>
      <c r="B57" s="24" t="s">
        <v>103</v>
      </c>
      <c r="C57" s="24" t="s">
        <v>101</v>
      </c>
      <c r="D57" s="377">
        <v>2.5</v>
      </c>
      <c r="E57" s="305">
        <v>8.0456949435711744E-2</v>
      </c>
      <c r="F57" s="305">
        <v>5.9718270537392815E-2</v>
      </c>
      <c r="G57" s="305">
        <v>4.8818634434239221E-2</v>
      </c>
      <c r="H57" s="305">
        <v>4.8818630784298225E-2</v>
      </c>
      <c r="I57" s="305">
        <v>5.9453121297910499E-2</v>
      </c>
      <c r="J57" s="305">
        <v>0.16163182030430068</v>
      </c>
      <c r="K57" s="305">
        <v>0.11880607460329494</v>
      </c>
      <c r="L57" s="305">
        <v>0.115676270606243</v>
      </c>
      <c r="M57" s="305">
        <v>0.115676245771391</v>
      </c>
      <c r="N57" s="305">
        <v>0.1279476028213074</v>
      </c>
      <c r="O57" s="305">
        <v>8.0248982316633093</v>
      </c>
      <c r="P57" s="305">
        <v>10.379090000508718</v>
      </c>
      <c r="Q57" s="305">
        <v>9.9857304383253425</v>
      </c>
      <c r="R57" s="305">
        <v>9.6471216801982909</v>
      </c>
      <c r="S57" s="305">
        <v>9.5092100876739138</v>
      </c>
      <c r="T57" s="305">
        <v>12.942185172527809</v>
      </c>
      <c r="U57" s="305">
        <v>14.315262888823524</v>
      </c>
      <c r="V57" s="305">
        <v>14.917030094067808</v>
      </c>
      <c r="W57" s="305">
        <v>14.895496277449906</v>
      </c>
      <c r="X57" s="305">
        <v>14.267493608217261</v>
      </c>
    </row>
    <row r="58" spans="1:24" x14ac:dyDescent="0.35">
      <c r="A58" s="24" t="s">
        <v>375</v>
      </c>
      <c r="B58" s="24" t="s">
        <v>103</v>
      </c>
      <c r="C58" s="24" t="s">
        <v>101</v>
      </c>
      <c r="D58" s="377">
        <v>5</v>
      </c>
      <c r="E58" s="305">
        <v>5.4648720456284813E-2</v>
      </c>
      <c r="F58" s="305">
        <v>3.9532992878020951E-2</v>
      </c>
      <c r="G58" s="305">
        <v>3.3064647256605455E-2</v>
      </c>
      <c r="H58" s="305">
        <v>3.2910666986015642E-2</v>
      </c>
      <c r="I58" s="305">
        <v>4.0039256894231712E-2</v>
      </c>
      <c r="J58" s="305">
        <v>0.10978507421174445</v>
      </c>
      <c r="K58" s="305">
        <v>7.8648622254001668E-2</v>
      </c>
      <c r="L58" s="305">
        <v>7.3105047539878301E-2</v>
      </c>
      <c r="M58" s="305">
        <v>7.2895631180756398E-2</v>
      </c>
      <c r="N58" s="305">
        <v>8.3608593796595215E-2</v>
      </c>
      <c r="O58" s="305">
        <v>4.0851292822706258</v>
      </c>
      <c r="P58" s="305">
        <v>5.2397909788836703</v>
      </c>
      <c r="Q58" s="305">
        <v>5.4444393940885876</v>
      </c>
      <c r="R58" s="305">
        <v>5.1360976181755813</v>
      </c>
      <c r="S58" s="305">
        <v>4.9763643183546158</v>
      </c>
      <c r="T58" s="305">
        <v>6.4996684507600824</v>
      </c>
      <c r="U58" s="305">
        <v>7.2143271499611084</v>
      </c>
      <c r="V58" s="305">
        <v>8.3788159184519451</v>
      </c>
      <c r="W58" s="305">
        <v>8.3674339025388331</v>
      </c>
      <c r="X58" s="305">
        <v>7.6150613554279918</v>
      </c>
    </row>
    <row r="59" spans="1:24" x14ac:dyDescent="0.35">
      <c r="A59" s="24" t="s">
        <v>375</v>
      </c>
      <c r="B59" s="24" t="s">
        <v>103</v>
      </c>
      <c r="C59" s="24" t="s">
        <v>101</v>
      </c>
      <c r="D59" s="377">
        <v>10</v>
      </c>
      <c r="E59" s="305">
        <v>3.7617512863202085E-2</v>
      </c>
      <c r="F59" s="305">
        <v>2.7743464407908407E-2</v>
      </c>
      <c r="G59" s="305">
        <v>2.4331778053593923E-2</v>
      </c>
      <c r="H59" s="305">
        <v>2.4956677547705121E-2</v>
      </c>
      <c r="I59" s="305">
        <v>2.8662358218102382E-2</v>
      </c>
      <c r="J59" s="305">
        <v>7.5570688698036029E-2</v>
      </c>
      <c r="K59" s="305">
        <v>5.5194031450324144E-2</v>
      </c>
      <c r="L59" s="305">
        <v>5.0461557778447699E-2</v>
      </c>
      <c r="M59" s="305">
        <v>5.1505316900720702E-2</v>
      </c>
      <c r="N59" s="305">
        <v>5.8182898706882133E-2</v>
      </c>
      <c r="O59" s="305">
        <v>2.4772559016323377</v>
      </c>
      <c r="P59" s="305">
        <v>2.9339267003641738</v>
      </c>
      <c r="Q59" s="305">
        <v>3.0582280515202256</v>
      </c>
      <c r="R59" s="305">
        <v>2.9929355642113573</v>
      </c>
      <c r="S59" s="305">
        <v>2.8655865544320238</v>
      </c>
      <c r="T59" s="305">
        <v>3.9093433098366428</v>
      </c>
      <c r="U59" s="305">
        <v>4.3581657639085076</v>
      </c>
      <c r="V59" s="305">
        <v>4.8918939148215275</v>
      </c>
      <c r="W59" s="305">
        <v>4.8906091647018934</v>
      </c>
      <c r="X59" s="305">
        <v>4.5125030383171429</v>
      </c>
    </row>
    <row r="60" spans="1:24" x14ac:dyDescent="0.35">
      <c r="A60" s="24" t="s">
        <v>375</v>
      </c>
      <c r="B60" s="24" t="s">
        <v>103</v>
      </c>
      <c r="C60" s="24" t="s">
        <v>101</v>
      </c>
      <c r="D60" s="377">
        <v>15</v>
      </c>
      <c r="E60" s="305">
        <v>2.3743078069077404E-2</v>
      </c>
      <c r="F60" s="305">
        <v>2.2305357611917116E-2</v>
      </c>
      <c r="G60" s="305">
        <v>1.9764151678705353E-2</v>
      </c>
      <c r="H60" s="305">
        <v>2.2305359513817031E-2</v>
      </c>
      <c r="I60" s="305">
        <v>2.2029486718379225E-2</v>
      </c>
      <c r="J60" s="305">
        <v>4.7698016825737627E-2</v>
      </c>
      <c r="K60" s="305">
        <v>4.43752298358219E-2</v>
      </c>
      <c r="L60" s="305">
        <v>4.02853177581666E-2</v>
      </c>
      <c r="M60" s="305">
        <v>4.4375242564309199E-2</v>
      </c>
      <c r="N60" s="305">
        <v>4.418345174600883E-2</v>
      </c>
      <c r="O60" s="305">
        <v>2.0114190956418772</v>
      </c>
      <c r="P60" s="305">
        <v>2.2153550607074286</v>
      </c>
      <c r="Q60" s="305">
        <v>2.2345665386882172</v>
      </c>
      <c r="R60" s="305">
        <v>2.2153549649158473</v>
      </c>
      <c r="S60" s="305">
        <v>2.1691739149883427</v>
      </c>
      <c r="T60" s="305">
        <v>3.300491349682479</v>
      </c>
      <c r="U60" s="305">
        <v>3.6826295706758878</v>
      </c>
      <c r="V60" s="305">
        <v>3.6826296101728007</v>
      </c>
      <c r="W60" s="305">
        <v>3.6826298747311754</v>
      </c>
      <c r="X60" s="305">
        <v>3.5870951013155854</v>
      </c>
    </row>
    <row r="61" spans="1:24" x14ac:dyDescent="0.35">
      <c r="A61" s="24" t="s">
        <v>375</v>
      </c>
      <c r="B61" s="24" t="s">
        <v>103</v>
      </c>
      <c r="C61" s="24" t="s">
        <v>101</v>
      </c>
      <c r="D61" s="377">
        <v>20</v>
      </c>
      <c r="E61" s="305">
        <v>1.7636884054061434E-2</v>
      </c>
      <c r="F61" s="305">
        <v>2.0751358888482802E-2</v>
      </c>
      <c r="G61" s="305">
        <v>1.6142360715677095E-2</v>
      </c>
      <c r="H61" s="305">
        <v>2.0751358671371244E-2</v>
      </c>
      <c r="I61" s="305">
        <v>1.8820490582398125E-2</v>
      </c>
      <c r="J61" s="305">
        <v>3.5431142917388997E-2</v>
      </c>
      <c r="K61" s="305">
        <v>4.03828419101444E-2</v>
      </c>
      <c r="L61" s="305">
        <v>3.23923132280559E-2</v>
      </c>
      <c r="M61" s="305">
        <v>4.0382841910025898E-2</v>
      </c>
      <c r="N61" s="305">
        <v>3.7147284991403802E-2</v>
      </c>
      <c r="O61" s="305">
        <v>1.7555029832159232</v>
      </c>
      <c r="P61" s="305">
        <v>1.7545691801012111</v>
      </c>
      <c r="Q61" s="305">
        <v>1.7637528553762127</v>
      </c>
      <c r="R61" s="305">
        <v>1.7545692917313778</v>
      </c>
      <c r="S61" s="305">
        <v>1.7570985776061809</v>
      </c>
      <c r="T61" s="305">
        <v>2.9053612487444767</v>
      </c>
      <c r="U61" s="305">
        <v>2.925241284311213</v>
      </c>
      <c r="V61" s="305">
        <v>2.9252410339442263</v>
      </c>
      <c r="W61" s="305">
        <v>2.9252412925284186</v>
      </c>
      <c r="X61" s="305">
        <v>2.920271214882082</v>
      </c>
    </row>
    <row r="62" spans="1:24" x14ac:dyDescent="0.35">
      <c r="A62" s="24" t="s">
        <v>375</v>
      </c>
      <c r="B62" s="24" t="s">
        <v>103</v>
      </c>
      <c r="C62" s="24" t="s">
        <v>101</v>
      </c>
      <c r="D62" s="377">
        <v>25</v>
      </c>
      <c r="E62" s="305">
        <v>1.6859641001212199E-2</v>
      </c>
      <c r="F62" s="305">
        <v>1.935929905415117E-2</v>
      </c>
      <c r="G62" s="305">
        <v>1.5494388232337689E-2</v>
      </c>
      <c r="H62" s="305">
        <v>1.9359295545197538E-2</v>
      </c>
      <c r="I62" s="305">
        <v>1.7768155958224671E-2</v>
      </c>
      <c r="J62" s="305">
        <v>3.2922474920042001E-2</v>
      </c>
      <c r="K62" s="305">
        <v>3.7127121710601799E-2</v>
      </c>
      <c r="L62" s="305">
        <v>3.0257005269289001E-2</v>
      </c>
      <c r="M62" s="305">
        <v>3.7127117674785298E-2</v>
      </c>
      <c r="N62" s="305">
        <v>3.4358429893679501E-2</v>
      </c>
      <c r="O62" s="305">
        <v>1.4225024414632264</v>
      </c>
      <c r="P62" s="305">
        <v>1.4111738221475003</v>
      </c>
      <c r="Q62" s="305">
        <v>1.4290630056287292</v>
      </c>
      <c r="R62" s="305">
        <v>1.4111736619762247</v>
      </c>
      <c r="S62" s="305">
        <v>1.41847823280392</v>
      </c>
      <c r="T62" s="305">
        <v>2.4826176163669635</v>
      </c>
      <c r="U62" s="305">
        <v>2.5001666364568695</v>
      </c>
      <c r="V62" s="305">
        <v>2.5001666298350278</v>
      </c>
      <c r="W62" s="305">
        <v>2.5001663342765825</v>
      </c>
      <c r="X62" s="305">
        <v>2.495779304233865</v>
      </c>
    </row>
    <row r="63" spans="1:24" x14ac:dyDescent="0.35">
      <c r="A63" s="24" t="s">
        <v>375</v>
      </c>
      <c r="B63" s="24" t="s">
        <v>103</v>
      </c>
      <c r="C63" s="24" t="s">
        <v>101</v>
      </c>
      <c r="D63" s="377">
        <v>30</v>
      </c>
      <c r="E63" s="305">
        <v>1.5491675459532044E-2</v>
      </c>
      <c r="F63" s="305">
        <v>1.7324924912514705E-2</v>
      </c>
      <c r="G63" s="305">
        <v>1.5256835835827931E-2</v>
      </c>
      <c r="H63" s="305">
        <v>1.732493207398467E-2</v>
      </c>
      <c r="I63" s="305">
        <v>1.6349592070464852E-2</v>
      </c>
      <c r="J63" s="305">
        <v>2.9617665315034399E-2</v>
      </c>
      <c r="K63" s="305">
        <v>3.2991840403141702E-2</v>
      </c>
      <c r="L63" s="305">
        <v>2.91731654994507E-2</v>
      </c>
      <c r="M63" s="305">
        <v>3.2991844594133499E-2</v>
      </c>
      <c r="N63" s="305">
        <v>3.1193628952940099E-2</v>
      </c>
      <c r="O63" s="305">
        <v>1.26376880674099</v>
      </c>
      <c r="P63" s="305">
        <v>1.1725815381755433</v>
      </c>
      <c r="Q63" s="305">
        <v>1.2635232289082574</v>
      </c>
      <c r="R63" s="305">
        <v>1.1725814804954069</v>
      </c>
      <c r="S63" s="305">
        <v>1.2181137635800499</v>
      </c>
      <c r="T63" s="305">
        <v>2.2211973000676175</v>
      </c>
      <c r="U63" s="305">
        <v>2.220542079573018</v>
      </c>
      <c r="V63" s="305">
        <v>2.2205418041462055</v>
      </c>
      <c r="W63" s="305">
        <v>2.2205420824501529</v>
      </c>
      <c r="X63" s="305">
        <v>2.2207058165592466</v>
      </c>
    </row>
    <row r="64" spans="1:24" x14ac:dyDescent="0.35">
      <c r="A64" s="24" t="s">
        <v>375</v>
      </c>
      <c r="B64" s="24" t="s">
        <v>103</v>
      </c>
      <c r="C64" s="24" t="s">
        <v>101</v>
      </c>
      <c r="D64" s="377">
        <v>35</v>
      </c>
      <c r="E64" s="305">
        <v>1.5493418944391772E-2</v>
      </c>
      <c r="F64" s="305">
        <v>1.6723263822520516E-2</v>
      </c>
      <c r="G64" s="305">
        <v>1.5493419835198564E-2</v>
      </c>
      <c r="H64" s="305">
        <v>1.6457408874828144E-2</v>
      </c>
      <c r="I64" s="305">
        <v>1.6041877869234764E-2</v>
      </c>
      <c r="J64" s="305">
        <v>2.9241239570881799E-2</v>
      </c>
      <c r="K64" s="305">
        <v>3.1514192080552499E-2</v>
      </c>
      <c r="L64" s="305">
        <v>2.9241239648491998E-2</v>
      </c>
      <c r="M64" s="305">
        <v>3.11457499289934E-2</v>
      </c>
      <c r="N64" s="305">
        <v>3.0285605307229901E-2</v>
      </c>
      <c r="O64" s="305">
        <v>1.0109980029338903</v>
      </c>
      <c r="P64" s="305">
        <v>0.96697038060038276</v>
      </c>
      <c r="Q64" s="305">
        <v>1.0109979769664423</v>
      </c>
      <c r="R64" s="305">
        <v>0.96697035504955398</v>
      </c>
      <c r="S64" s="305">
        <v>0.98898417888756918</v>
      </c>
      <c r="T64" s="305">
        <v>1.7384383093070253</v>
      </c>
      <c r="U64" s="305">
        <v>1.7384383233700922</v>
      </c>
      <c r="V64" s="305">
        <v>1.7384379989305068</v>
      </c>
      <c r="W64" s="305">
        <v>1.7384386192463139</v>
      </c>
      <c r="X64" s="305">
        <v>1.7384383127134884</v>
      </c>
    </row>
    <row r="65" spans="1:24" x14ac:dyDescent="0.35">
      <c r="A65" s="24" t="s">
        <v>375</v>
      </c>
      <c r="B65" s="24" t="s">
        <v>103</v>
      </c>
      <c r="C65" s="24" t="s">
        <v>101</v>
      </c>
      <c r="D65" s="377">
        <v>40</v>
      </c>
      <c r="E65" s="305">
        <v>1.5710366925795291E-2</v>
      </c>
      <c r="F65" s="305">
        <v>1.6481203520744489E-2</v>
      </c>
      <c r="G65" s="305">
        <v>1.5710365674587761E-2</v>
      </c>
      <c r="H65" s="305">
        <v>1.5956099529591775E-2</v>
      </c>
      <c r="I65" s="305">
        <v>1.5964508912679868E-2</v>
      </c>
      <c r="J65" s="305">
        <v>2.9374173904400801E-2</v>
      </c>
      <c r="K65" s="305">
        <v>3.07693645255421E-2</v>
      </c>
      <c r="L65" s="305">
        <v>2.9374169790974201E-2</v>
      </c>
      <c r="M65" s="305">
        <v>3.0041658894579801E-2</v>
      </c>
      <c r="N65" s="305">
        <v>2.9889841778874202E-2</v>
      </c>
      <c r="O65" s="305">
        <v>0.84959745120047891</v>
      </c>
      <c r="P65" s="305">
        <v>0.82052164085951573</v>
      </c>
      <c r="Q65" s="305">
        <v>0.84959745947453402</v>
      </c>
      <c r="R65" s="305">
        <v>0.82052161061209294</v>
      </c>
      <c r="S65" s="305">
        <v>0.83505954053665454</v>
      </c>
      <c r="T65" s="305">
        <v>1.5156997603393534</v>
      </c>
      <c r="U65" s="305">
        <v>1.5157003905247144</v>
      </c>
      <c r="V65" s="305">
        <v>1.5156997807785295</v>
      </c>
      <c r="W65" s="305">
        <v>1.5157004037854178</v>
      </c>
      <c r="X65" s="305">
        <v>1.5157000838570092</v>
      </c>
    </row>
    <row r="66" spans="1:24" x14ac:dyDescent="0.35">
      <c r="A66" s="24" t="s">
        <v>375</v>
      </c>
      <c r="B66" s="24" t="s">
        <v>103</v>
      </c>
      <c r="C66" s="24" t="s">
        <v>101</v>
      </c>
      <c r="D66" s="377">
        <v>45</v>
      </c>
      <c r="E66" s="305">
        <v>1.587908824953729E-2</v>
      </c>
      <c r="F66" s="305">
        <v>1.6292951699545546E-2</v>
      </c>
      <c r="G66" s="305">
        <v>1.5879088276525007E-2</v>
      </c>
      <c r="H66" s="305">
        <v>1.5701916234359785E-2</v>
      </c>
      <c r="I66" s="305">
        <v>1.5938261114991865E-2</v>
      </c>
      <c r="J66" s="305">
        <v>2.9477554520973101E-2</v>
      </c>
      <c r="K66" s="305">
        <v>3.0190063975574302E-2</v>
      </c>
      <c r="L66" s="305">
        <v>2.9477554598751399E-2</v>
      </c>
      <c r="M66" s="305">
        <v>2.9337824888469699E-2</v>
      </c>
      <c r="N66" s="305">
        <v>2.9620749495942102E-2</v>
      </c>
      <c r="O66" s="305">
        <v>0.72407706555735796</v>
      </c>
      <c r="P66" s="305">
        <v>0.70662934710801639</v>
      </c>
      <c r="Q66" s="305">
        <v>0.72407701996149054</v>
      </c>
      <c r="R66" s="305">
        <v>0.70662939997647622</v>
      </c>
      <c r="S66" s="305">
        <v>0.71535320815083536</v>
      </c>
      <c r="T66" s="305">
        <v>1.3423756126488868</v>
      </c>
      <c r="U66" s="305">
        <v>1.3423759178383945</v>
      </c>
      <c r="V66" s="305">
        <v>1.3423753134729275</v>
      </c>
      <c r="W66" s="305">
        <v>1.3423756154721027</v>
      </c>
      <c r="X66" s="305">
        <v>1.3423756148580759</v>
      </c>
    </row>
    <row r="67" spans="1:24" x14ac:dyDescent="0.35">
      <c r="A67" s="24" t="s">
        <v>375</v>
      </c>
      <c r="B67" s="24" t="s">
        <v>103</v>
      </c>
      <c r="C67" s="24" t="s">
        <v>101</v>
      </c>
      <c r="D67" s="377">
        <v>50</v>
      </c>
      <c r="E67" s="305">
        <v>1.6023838314708279E-2</v>
      </c>
      <c r="F67" s="305">
        <v>1.6180809352795589E-2</v>
      </c>
      <c r="G67" s="305">
        <v>1.5784061876440044E-2</v>
      </c>
      <c r="H67" s="305">
        <v>1.57286816059839E-2</v>
      </c>
      <c r="I67" s="305">
        <v>1.5929347787481955E-2</v>
      </c>
      <c r="J67" s="305">
        <v>2.96151261658224E-2</v>
      </c>
      <c r="K67" s="305">
        <v>2.98028180212099E-2</v>
      </c>
      <c r="L67" s="305">
        <v>2.9180241733439902E-2</v>
      </c>
      <c r="M67" s="305">
        <v>2.9037475087854099E-2</v>
      </c>
      <c r="N67" s="305">
        <v>2.9408915252081599E-2</v>
      </c>
      <c r="O67" s="305">
        <v>0.62389534745380715</v>
      </c>
      <c r="P67" s="305">
        <v>0.61561578577567044</v>
      </c>
      <c r="Q67" s="305">
        <v>0.62376920974140204</v>
      </c>
      <c r="R67" s="305">
        <v>0.6156157149554109</v>
      </c>
      <c r="S67" s="305">
        <v>0.61972401448157255</v>
      </c>
      <c r="T67" s="305">
        <v>1.1301399173044939</v>
      </c>
      <c r="U67" s="305">
        <v>1.1297899746617404</v>
      </c>
      <c r="V67" s="305">
        <v>1.1297896918046382</v>
      </c>
      <c r="W67" s="305">
        <v>1.129789686439264</v>
      </c>
      <c r="X67" s="305">
        <v>1.1298773175525341</v>
      </c>
    </row>
    <row r="68" spans="1:24" x14ac:dyDescent="0.35">
      <c r="A68" s="24" t="s">
        <v>375</v>
      </c>
      <c r="B68" s="24" t="s">
        <v>103</v>
      </c>
      <c r="C68" s="24" t="s">
        <v>101</v>
      </c>
      <c r="D68" s="377">
        <v>55</v>
      </c>
      <c r="E68" s="305">
        <v>1.5645121842917414E-2</v>
      </c>
      <c r="F68" s="305">
        <v>1.6242558228637054E-2</v>
      </c>
      <c r="G68" s="305">
        <v>1.5645117868458937E-2</v>
      </c>
      <c r="H68" s="305">
        <v>1.5877430480213756E-2</v>
      </c>
      <c r="I68" s="305">
        <v>1.5852557105056776E-2</v>
      </c>
      <c r="J68" s="305">
        <v>2.8835865556805101E-2</v>
      </c>
      <c r="K68" s="305">
        <v>2.9789981637847501E-2</v>
      </c>
      <c r="L68" s="305">
        <v>2.8835865634412899E-2</v>
      </c>
      <c r="M68" s="305">
        <v>2.90971455161468E-2</v>
      </c>
      <c r="N68" s="305">
        <v>2.91397145863031E-2</v>
      </c>
      <c r="O68" s="305">
        <v>0.54169916006057062</v>
      </c>
      <c r="P68" s="305">
        <v>0.54115001870200075</v>
      </c>
      <c r="Q68" s="305">
        <v>0.54169909318010834</v>
      </c>
      <c r="R68" s="305">
        <v>0.54115012711897215</v>
      </c>
      <c r="S68" s="305">
        <v>0.54142459976541257</v>
      </c>
      <c r="T68" s="305">
        <v>0.92873705343152424</v>
      </c>
      <c r="U68" s="305">
        <v>0.9287370655679188</v>
      </c>
      <c r="V68" s="305">
        <v>0.92873736507311022</v>
      </c>
      <c r="W68" s="305">
        <v>0.92873675027049685</v>
      </c>
      <c r="X68" s="305">
        <v>0.92873705858576272</v>
      </c>
    </row>
    <row r="69" spans="1:24" x14ac:dyDescent="0.35">
      <c r="A69" s="24" t="s">
        <v>375</v>
      </c>
      <c r="B69" s="24" t="s">
        <v>103</v>
      </c>
      <c r="C69" s="24" t="s">
        <v>101</v>
      </c>
      <c r="D69" s="377">
        <v>60</v>
      </c>
      <c r="E69" s="305">
        <v>1.4855091905315514E-2</v>
      </c>
      <c r="F69" s="305">
        <v>1.5932463005457777E-2</v>
      </c>
      <c r="G69" s="305">
        <v>1.5705420385984908E-2</v>
      </c>
      <c r="H69" s="305">
        <v>1.6036593552859791E-2</v>
      </c>
      <c r="I69" s="305">
        <v>1.5632392212404499E-2</v>
      </c>
      <c r="J69" s="305">
        <v>2.7329531727464901E-2</v>
      </c>
      <c r="K69" s="305">
        <v>2.9221245428042331E-2</v>
      </c>
      <c r="L69" s="305">
        <v>2.88618927056205E-2</v>
      </c>
      <c r="M69" s="305">
        <v>2.9388829431333842E-2</v>
      </c>
      <c r="N69" s="305">
        <v>2.8700374823115389E-2</v>
      </c>
      <c r="O69" s="305">
        <v>0.48991905851078216</v>
      </c>
      <c r="P69" s="305">
        <v>0.53544961418635495</v>
      </c>
      <c r="Q69" s="305">
        <v>0.48727442554927175</v>
      </c>
      <c r="R69" s="305">
        <v>0.5354502053037633</v>
      </c>
      <c r="S69" s="305">
        <v>0.51202332588754307</v>
      </c>
      <c r="T69" s="305">
        <v>0.88800241210129005</v>
      </c>
      <c r="U69" s="305">
        <v>0.90608938478263723</v>
      </c>
      <c r="V69" s="305">
        <v>0.88068216592737836</v>
      </c>
      <c r="W69" s="305">
        <v>0.90608926031900328</v>
      </c>
      <c r="X69" s="305">
        <v>0.8952158057825772</v>
      </c>
    </row>
    <row r="70" spans="1:24" x14ac:dyDescent="0.35">
      <c r="A70" s="24" t="s">
        <v>375</v>
      </c>
      <c r="B70" s="24" t="s">
        <v>103</v>
      </c>
      <c r="C70" s="24" t="s">
        <v>101</v>
      </c>
      <c r="D70" s="377">
        <v>65</v>
      </c>
      <c r="E70" s="305">
        <v>1.6389654642998439E-2</v>
      </c>
      <c r="F70" s="305">
        <v>1.5990837717330435E-2</v>
      </c>
      <c r="G70" s="305">
        <v>1.6389655038250257E-2</v>
      </c>
      <c r="H70" s="305">
        <v>1.6426059729673186E-2</v>
      </c>
      <c r="I70" s="305">
        <v>1.6299051782063079E-2</v>
      </c>
      <c r="J70" s="305">
        <v>3.00470397392587E-2</v>
      </c>
      <c r="K70" s="305">
        <v>2.9328308710212699E-2</v>
      </c>
      <c r="L70" s="305">
        <v>3.0047043852514801E-2</v>
      </c>
      <c r="M70" s="305">
        <v>3.0102569229122838E-2</v>
      </c>
      <c r="N70" s="305">
        <v>2.9881240382777261E-2</v>
      </c>
      <c r="O70" s="305">
        <v>0.53658519381104131</v>
      </c>
      <c r="P70" s="305">
        <v>0.59074498689232446</v>
      </c>
      <c r="Q70" s="305">
        <v>0.53658516138836976</v>
      </c>
      <c r="R70" s="305">
        <v>0.59074528506829926</v>
      </c>
      <c r="S70" s="305">
        <v>0.56366515679000873</v>
      </c>
      <c r="T70" s="305">
        <v>0.96772345480732402</v>
      </c>
      <c r="U70" s="305">
        <v>0.94860132270646225</v>
      </c>
      <c r="V70" s="305">
        <v>0.96772378255266855</v>
      </c>
      <c r="W70" s="305">
        <v>0.94860140867363418</v>
      </c>
      <c r="X70" s="305">
        <v>0.95816249218502214</v>
      </c>
    </row>
    <row r="71" spans="1:24" x14ac:dyDescent="0.35">
      <c r="A71" s="24" t="s">
        <v>375</v>
      </c>
      <c r="B71" s="24" t="s">
        <v>103</v>
      </c>
      <c r="C71" s="24" t="s">
        <v>101</v>
      </c>
      <c r="D71" s="377">
        <v>70</v>
      </c>
      <c r="E71" s="305">
        <v>1.7585375700042451E-2</v>
      </c>
      <c r="F71" s="305">
        <v>1.7042328384376557E-2</v>
      </c>
      <c r="G71" s="305">
        <v>1.7585382190966534E-2</v>
      </c>
      <c r="H71" s="305">
        <v>1.7506772955901664E-2</v>
      </c>
      <c r="I71" s="305">
        <v>1.7429964807821802E-2</v>
      </c>
      <c r="J71" s="305">
        <v>3.2177374182713402E-2</v>
      </c>
      <c r="K71" s="305">
        <v>3.1256815736183836E-2</v>
      </c>
      <c r="L71" s="305">
        <v>3.2177374182713402E-2</v>
      </c>
      <c r="M71" s="305">
        <v>3.2083095614924485E-2</v>
      </c>
      <c r="N71" s="305">
        <v>3.1923664929133781E-2</v>
      </c>
      <c r="O71" s="305">
        <v>0.5864609254555706</v>
      </c>
      <c r="P71" s="305">
        <v>0.64309717651109377</v>
      </c>
      <c r="Q71" s="305">
        <v>0.58646081013420626</v>
      </c>
      <c r="R71" s="305">
        <v>0.64309780623058121</v>
      </c>
      <c r="S71" s="305">
        <v>0.61477917958286299</v>
      </c>
      <c r="T71" s="305">
        <v>1.0428474777011927</v>
      </c>
      <c r="U71" s="305">
        <v>0.9865325735083077</v>
      </c>
      <c r="V71" s="305">
        <v>1.0428474784732837</v>
      </c>
      <c r="W71" s="305">
        <v>0.98653295398084495</v>
      </c>
      <c r="X71" s="305">
        <v>1.0146901209159074</v>
      </c>
    </row>
    <row r="72" spans="1:24" x14ac:dyDescent="0.35">
      <c r="A72" s="24" t="s">
        <v>375</v>
      </c>
      <c r="B72" s="24" t="s">
        <v>103</v>
      </c>
      <c r="C72" s="24" t="s">
        <v>101</v>
      </c>
      <c r="D72" s="377">
        <v>75</v>
      </c>
      <c r="E72" s="305">
        <v>1.9080517422732642E-2</v>
      </c>
      <c r="F72" s="305">
        <v>1.8464676634173179E-2</v>
      </c>
      <c r="G72" s="305">
        <v>1.8722461931344053E-2</v>
      </c>
      <c r="H72" s="305">
        <v>1.896827445854652E-2</v>
      </c>
      <c r="I72" s="305">
        <v>1.8808982611699096E-2</v>
      </c>
      <c r="J72" s="305">
        <v>3.4913155066090995E-2</v>
      </c>
      <c r="K72" s="305">
        <v>3.3865501366096555E-2</v>
      </c>
      <c r="L72" s="305">
        <v>3.4257979533474842E-2</v>
      </c>
      <c r="M72" s="305">
        <v>3.4761458587290774E-2</v>
      </c>
      <c r="N72" s="305">
        <v>3.4449523638238291E-2</v>
      </c>
      <c r="O72" s="305">
        <v>0.59237146765539683</v>
      </c>
      <c r="P72" s="305">
        <v>0.64964141198791758</v>
      </c>
      <c r="Q72" s="305">
        <v>0.59063402521323216</v>
      </c>
      <c r="R72" s="305">
        <v>0.64964135547518176</v>
      </c>
      <c r="S72" s="305">
        <v>0.62057206508293206</v>
      </c>
      <c r="T72" s="305">
        <v>1.0130208343552063</v>
      </c>
      <c r="U72" s="305">
        <v>0.9582429970578662</v>
      </c>
      <c r="V72" s="305">
        <v>1.0154364147832851</v>
      </c>
      <c r="W72" s="305">
        <v>0.95824442435390444</v>
      </c>
      <c r="X72" s="305">
        <v>0.9862361676375655</v>
      </c>
    </row>
    <row r="73" spans="1:24" x14ac:dyDescent="0.35">
      <c r="A73" s="24" t="s">
        <v>375</v>
      </c>
      <c r="B73" s="24" t="s">
        <v>103</v>
      </c>
      <c r="C73" s="24" t="s">
        <v>104</v>
      </c>
      <c r="D73" s="306" t="s">
        <v>376</v>
      </c>
      <c r="E73" s="307">
        <v>2.7754480017071818E-2</v>
      </c>
      <c r="F73" s="307">
        <v>3.8780898401147075E-2</v>
      </c>
      <c r="G73" s="307">
        <v>3.0926603528762735E-2</v>
      </c>
      <c r="H73" s="307">
        <v>4.9157376015800884E-2</v>
      </c>
      <c r="I73" s="307">
        <v>3.9150606520751904E-2</v>
      </c>
      <c r="J73" s="307">
        <v>4.1066925063872335E-2</v>
      </c>
      <c r="K73" s="307">
        <v>5.6208888056062216E-2</v>
      </c>
      <c r="L73" s="307">
        <v>4.5314238280904265E-2</v>
      </c>
      <c r="M73" s="307">
        <v>7.0881457336751399E-2</v>
      </c>
      <c r="N73" s="307">
        <v>5.6788340360950859E-2</v>
      </c>
      <c r="O73" s="307">
        <v>0.16652816860768799</v>
      </c>
      <c r="P73" s="307">
        <v>0.18843030699643817</v>
      </c>
      <c r="Q73" s="307">
        <v>0.15503689323802194</v>
      </c>
      <c r="R73" s="307">
        <v>0.23276512426411169</v>
      </c>
      <c r="S73" s="307">
        <v>0.19233139201838881</v>
      </c>
      <c r="T73" s="307">
        <v>7.3693256750731545E-2</v>
      </c>
      <c r="U73" s="307">
        <v>9.8749246120991674E-2</v>
      </c>
      <c r="V73" s="307">
        <v>7.6815397352819254E-2</v>
      </c>
      <c r="W73" s="307">
        <v>0.12841663937297779</v>
      </c>
      <c r="X73" s="307">
        <v>0.10040441097639692</v>
      </c>
    </row>
    <row r="74" spans="1:24" x14ac:dyDescent="0.35">
      <c r="A74" s="24" t="s">
        <v>375</v>
      </c>
      <c r="B74" s="24" t="s">
        <v>103</v>
      </c>
      <c r="C74" s="24" t="s">
        <v>104</v>
      </c>
      <c r="D74" s="377">
        <v>2.5</v>
      </c>
      <c r="E74" s="305">
        <v>0.39707628720455451</v>
      </c>
      <c r="F74" s="305">
        <v>0.38269296407422765</v>
      </c>
      <c r="G74" s="305">
        <v>0.40883237665917982</v>
      </c>
      <c r="H74" s="305">
        <v>0.40883253790832985</v>
      </c>
      <c r="I74" s="305">
        <v>0.3993585414615729</v>
      </c>
      <c r="J74" s="305">
        <v>0.57415940344359673</v>
      </c>
      <c r="K74" s="305">
        <v>0.55287425758888176</v>
      </c>
      <c r="L74" s="305">
        <v>0.59588802301974797</v>
      </c>
      <c r="M74" s="305">
        <v>0.59588824375532501</v>
      </c>
      <c r="N74" s="305">
        <v>0.57970248195188789</v>
      </c>
      <c r="O74" s="305">
        <v>2.0300034931039468</v>
      </c>
      <c r="P74" s="305">
        <v>2.1242465558873302</v>
      </c>
      <c r="Q74" s="305">
        <v>1.516633116957125</v>
      </c>
      <c r="R74" s="305">
        <v>1.4304681177085681</v>
      </c>
      <c r="S74" s="305">
        <v>1.7753378209142423</v>
      </c>
      <c r="T74" s="305">
        <v>1.0661349096364787</v>
      </c>
      <c r="U74" s="305">
        <v>1.0463524536500337</v>
      </c>
      <c r="V74" s="305">
        <v>0.8448167113812296</v>
      </c>
      <c r="W74" s="305">
        <v>0.84239242314004825</v>
      </c>
      <c r="X74" s="305">
        <v>0.94992412445194763</v>
      </c>
    </row>
    <row r="75" spans="1:24" x14ac:dyDescent="0.35">
      <c r="A75" s="24" t="s">
        <v>375</v>
      </c>
      <c r="B75" s="24" t="s">
        <v>103</v>
      </c>
      <c r="C75" s="24" t="s">
        <v>104</v>
      </c>
      <c r="D75" s="377">
        <v>5</v>
      </c>
      <c r="E75" s="305">
        <v>0.21015150090964974</v>
      </c>
      <c r="F75" s="305">
        <v>0.20272289463950538</v>
      </c>
      <c r="G75" s="305">
        <v>0.21291713530755843</v>
      </c>
      <c r="H75" s="305">
        <v>0.21321309372146507</v>
      </c>
      <c r="I75" s="305">
        <v>0.20975115614454465</v>
      </c>
      <c r="J75" s="305">
        <v>0.30387223887006509</v>
      </c>
      <c r="K75" s="305">
        <v>0.29287256467131284</v>
      </c>
      <c r="L75" s="305">
        <v>0.30978425484863598</v>
      </c>
      <c r="M75" s="305">
        <v>0.31012773489540701</v>
      </c>
      <c r="N75" s="305">
        <v>0.30416419832135522</v>
      </c>
      <c r="O75" s="305">
        <v>1.0221441100813442</v>
      </c>
      <c r="P75" s="305">
        <v>1.0639733622507137</v>
      </c>
      <c r="Q75" s="305">
        <v>0.89581199221621544</v>
      </c>
      <c r="R75" s="305">
        <v>0.80762281853330065</v>
      </c>
      <c r="S75" s="305">
        <v>0.94738807077039344</v>
      </c>
      <c r="T75" s="305">
        <v>0.53515640931709363</v>
      </c>
      <c r="U75" s="305">
        <v>0.52622948245697287</v>
      </c>
      <c r="V75" s="305">
        <v>0.47683281824192386</v>
      </c>
      <c r="W75" s="305">
        <v>0.475501017387717</v>
      </c>
      <c r="X75" s="305">
        <v>0.50342993185092688</v>
      </c>
    </row>
    <row r="76" spans="1:24" x14ac:dyDescent="0.35">
      <c r="A76" s="24" t="s">
        <v>375</v>
      </c>
      <c r="B76" s="24" t="s">
        <v>103</v>
      </c>
      <c r="C76" s="24" t="s">
        <v>104</v>
      </c>
      <c r="D76" s="377">
        <v>10</v>
      </c>
      <c r="E76" s="305">
        <v>0.11659756903526972</v>
      </c>
      <c r="F76" s="305">
        <v>0.11276359630389375</v>
      </c>
      <c r="G76" s="305">
        <v>0.11483686776684304</v>
      </c>
      <c r="H76" s="305">
        <v>0.1154033208230358</v>
      </c>
      <c r="I76" s="305">
        <v>0.11490033848226057</v>
      </c>
      <c r="J76" s="305">
        <v>0.1685962945598333</v>
      </c>
      <c r="K76" s="305">
        <v>0.16290889941074352</v>
      </c>
      <c r="L76" s="305">
        <v>0.166597987922917</v>
      </c>
      <c r="M76" s="305">
        <v>0.16724747931584699</v>
      </c>
      <c r="N76" s="305">
        <v>0.16633766530233518</v>
      </c>
      <c r="O76" s="305">
        <v>0.55224934306896534</v>
      </c>
      <c r="P76" s="305">
        <v>0.54354823169226796</v>
      </c>
      <c r="Q76" s="305">
        <v>0.52065444498706193</v>
      </c>
      <c r="R76" s="305">
        <v>0.49352074727423145</v>
      </c>
      <c r="S76" s="305">
        <v>0.5274931917556317</v>
      </c>
      <c r="T76" s="305">
        <v>0.28581291176204415</v>
      </c>
      <c r="U76" s="305">
        <v>0.28208613094021412</v>
      </c>
      <c r="V76" s="305">
        <v>0.26985601713744489</v>
      </c>
      <c r="W76" s="305">
        <v>0.26970377247081889</v>
      </c>
      <c r="X76" s="305">
        <v>0.27686470807763053</v>
      </c>
    </row>
    <row r="77" spans="1:24" x14ac:dyDescent="0.35">
      <c r="A77" s="24" t="s">
        <v>375</v>
      </c>
      <c r="B77" s="24" t="s">
        <v>103</v>
      </c>
      <c r="C77" s="24" t="s">
        <v>104</v>
      </c>
      <c r="D77" s="377">
        <v>15</v>
      </c>
      <c r="E77" s="305">
        <v>8.5479852731436864E-2</v>
      </c>
      <c r="F77" s="305">
        <v>8.280000535225665E-2</v>
      </c>
      <c r="G77" s="305">
        <v>8.1905868975304635E-2</v>
      </c>
      <c r="H77" s="305">
        <v>8.280002927466916E-2</v>
      </c>
      <c r="I77" s="305">
        <v>8.3246439083416821E-2</v>
      </c>
      <c r="J77" s="305">
        <v>0.12360108833556491</v>
      </c>
      <c r="K77" s="305">
        <v>0.11962067710919599</v>
      </c>
      <c r="L77" s="305">
        <v>0.11860851196979599</v>
      </c>
      <c r="M77" s="305">
        <v>0.11962071188342301</v>
      </c>
      <c r="N77" s="305">
        <v>0.12036274732449496</v>
      </c>
      <c r="O77" s="305">
        <v>0.39948064098060854</v>
      </c>
      <c r="P77" s="305">
        <v>0.37247924530366461</v>
      </c>
      <c r="Q77" s="305">
        <v>0.39009266310630691</v>
      </c>
      <c r="R77" s="305">
        <v>0.37247923415900103</v>
      </c>
      <c r="S77" s="305">
        <v>0.38363294588739527</v>
      </c>
      <c r="T77" s="305">
        <v>0.2056662458850963</v>
      </c>
      <c r="U77" s="305">
        <v>0.20308471217185223</v>
      </c>
      <c r="V77" s="305">
        <v>0.20308468844953256</v>
      </c>
      <c r="W77" s="305">
        <v>0.20308470457027963</v>
      </c>
      <c r="X77" s="305">
        <v>0.20373008776919016</v>
      </c>
    </row>
    <row r="78" spans="1:24" x14ac:dyDescent="0.35">
      <c r="A78" s="24" t="s">
        <v>375</v>
      </c>
      <c r="B78" s="24" t="s">
        <v>103</v>
      </c>
      <c r="C78" s="24" t="s">
        <v>104</v>
      </c>
      <c r="D78" s="377">
        <v>20</v>
      </c>
      <c r="E78" s="305">
        <v>6.6150894302042795E-2</v>
      </c>
      <c r="F78" s="305">
        <v>6.6164600160529996E-2</v>
      </c>
      <c r="G78" s="305">
        <v>6.3362739302404505E-2</v>
      </c>
      <c r="H78" s="305">
        <v>6.6164615044649558E-2</v>
      </c>
      <c r="I78" s="305">
        <v>6.5460712202406762E-2</v>
      </c>
      <c r="J78" s="305">
        <v>9.5652042777752799E-2</v>
      </c>
      <c r="K78" s="305">
        <v>9.54097804715274E-2</v>
      </c>
      <c r="L78" s="305">
        <v>9.1649998683957706E-2</v>
      </c>
      <c r="M78" s="305">
        <v>9.5409788088242395E-2</v>
      </c>
      <c r="N78" s="305">
        <v>9.4530402505370106E-2</v>
      </c>
      <c r="O78" s="305">
        <v>0.31848513248960342</v>
      </c>
      <c r="P78" s="305">
        <v>0.30361019981115106</v>
      </c>
      <c r="Q78" s="305">
        <v>0.30719949179769268</v>
      </c>
      <c r="R78" s="305">
        <v>0.30361020617145484</v>
      </c>
      <c r="S78" s="305">
        <v>0.30822625756747563</v>
      </c>
      <c r="T78" s="305">
        <v>0.16275369684633759</v>
      </c>
      <c r="U78" s="305">
        <v>0.16160995594610647</v>
      </c>
      <c r="V78" s="305">
        <v>0.16160996357171639</v>
      </c>
      <c r="W78" s="305">
        <v>0.16160996729423913</v>
      </c>
      <c r="X78" s="305">
        <v>0.16189589591460007</v>
      </c>
    </row>
    <row r="79" spans="1:24" x14ac:dyDescent="0.35">
      <c r="A79" s="24" t="s">
        <v>375</v>
      </c>
      <c r="B79" s="24" t="s">
        <v>103</v>
      </c>
      <c r="C79" s="24" t="s">
        <v>104</v>
      </c>
      <c r="D79" s="377">
        <v>25</v>
      </c>
      <c r="E79" s="305">
        <v>5.5280867174469991E-2</v>
      </c>
      <c r="F79" s="305">
        <v>5.5511325501860206E-2</v>
      </c>
      <c r="G79" s="305">
        <v>5.2836202267624525E-2</v>
      </c>
      <c r="H79" s="305">
        <v>5.5511318183554065E-2</v>
      </c>
      <c r="I79" s="305">
        <v>5.478492828187722E-2</v>
      </c>
      <c r="J79" s="305">
        <v>7.9873766050392606E-2</v>
      </c>
      <c r="K79" s="305">
        <v>8.0082909521176193E-2</v>
      </c>
      <c r="L79" s="305">
        <v>7.6359111227551096E-2</v>
      </c>
      <c r="M79" s="305">
        <v>8.0082878213336997E-2</v>
      </c>
      <c r="N79" s="305">
        <v>7.9099666253114195E-2</v>
      </c>
      <c r="O79" s="305">
        <v>0.26568412122354612</v>
      </c>
      <c r="P79" s="305">
        <v>0.25737260442277821</v>
      </c>
      <c r="Q79" s="305">
        <v>0.25553687845279699</v>
      </c>
      <c r="R79" s="305">
        <v>0.25737260622264052</v>
      </c>
      <c r="S79" s="305">
        <v>0.25899155258044076</v>
      </c>
      <c r="T79" s="305">
        <v>0.13991311606287496</v>
      </c>
      <c r="U79" s="305">
        <v>0.13892995196057148</v>
      </c>
      <c r="V79" s="305">
        <v>0.13892995657436602</v>
      </c>
      <c r="W79" s="305">
        <v>0.13892995759700996</v>
      </c>
      <c r="X79" s="305">
        <v>0.13917574554870543</v>
      </c>
    </row>
    <row r="80" spans="1:24" x14ac:dyDescent="0.35">
      <c r="A80" s="24" t="s">
        <v>375</v>
      </c>
      <c r="B80" s="24" t="s">
        <v>103</v>
      </c>
      <c r="C80" s="24" t="s">
        <v>104</v>
      </c>
      <c r="D80" s="377">
        <v>30</v>
      </c>
      <c r="E80" s="305">
        <v>4.6228937007468308E-2</v>
      </c>
      <c r="F80" s="305">
        <v>4.7568885818212198E-2</v>
      </c>
      <c r="G80" s="305">
        <v>4.5919180066750116E-2</v>
      </c>
      <c r="H80" s="305">
        <v>4.7568890473862591E-2</v>
      </c>
      <c r="I80" s="305">
        <v>4.6821473341573265E-2</v>
      </c>
      <c r="J80" s="305">
        <v>6.6753834563011497E-2</v>
      </c>
      <c r="K80" s="305">
        <v>6.8581093427686299E-2</v>
      </c>
      <c r="L80" s="305">
        <v>6.6312116705982194E-2</v>
      </c>
      <c r="M80" s="305">
        <v>6.8581102117605E-2</v>
      </c>
      <c r="N80" s="305">
        <v>6.7557036703571299E-2</v>
      </c>
      <c r="O80" s="305">
        <v>0.23240271808075297</v>
      </c>
      <c r="P80" s="305">
        <v>0.22661322090427843</v>
      </c>
      <c r="Q80" s="305">
        <v>0.23138400740129622</v>
      </c>
      <c r="R80" s="305">
        <v>0.2266132537744795</v>
      </c>
      <c r="S80" s="305">
        <v>0.22925330004020181</v>
      </c>
      <c r="T80" s="305">
        <v>0.12588406047155548</v>
      </c>
      <c r="U80" s="305">
        <v>0.12578833773555509</v>
      </c>
      <c r="V80" s="305">
        <v>0.12578833494310054</v>
      </c>
      <c r="W80" s="305">
        <v>0.12578830981696976</v>
      </c>
      <c r="X80" s="305">
        <v>0.12581226074179502</v>
      </c>
    </row>
    <row r="81" spans="1:24" x14ac:dyDescent="0.35">
      <c r="A81" s="24" t="s">
        <v>375</v>
      </c>
      <c r="B81" s="24" t="s">
        <v>103</v>
      </c>
      <c r="C81" s="24" t="s">
        <v>104</v>
      </c>
      <c r="D81" s="377">
        <v>35</v>
      </c>
      <c r="E81" s="305">
        <v>4.1008320156513976E-2</v>
      </c>
      <c r="F81" s="305">
        <v>4.205213921000521E-2</v>
      </c>
      <c r="G81" s="305">
        <v>4.1008316806185233E-2</v>
      </c>
      <c r="H81" s="305">
        <v>4.1928904457383016E-2</v>
      </c>
      <c r="I81" s="305">
        <v>4.1499420157521852E-2</v>
      </c>
      <c r="J81" s="305">
        <v>5.9417313867925203E-2</v>
      </c>
      <c r="K81" s="305">
        <v>6.0790479126808301E-2</v>
      </c>
      <c r="L81" s="305">
        <v>5.9417266842198502E-2</v>
      </c>
      <c r="M81" s="305">
        <v>6.06533767750079E-2</v>
      </c>
      <c r="N81" s="305">
        <v>6.0069609152985003E-2</v>
      </c>
      <c r="O81" s="305">
        <v>0.20381816368439976</v>
      </c>
      <c r="P81" s="305">
        <v>0.20256292767329676</v>
      </c>
      <c r="Q81" s="305">
        <v>0.20381814757222899</v>
      </c>
      <c r="R81" s="305">
        <v>0.2025629257733037</v>
      </c>
      <c r="S81" s="305">
        <v>0.20319054117580734</v>
      </c>
      <c r="T81" s="305">
        <v>0.10536989740257829</v>
      </c>
      <c r="U81" s="305">
        <v>0.10536990373305835</v>
      </c>
      <c r="V81" s="305">
        <v>0.10536989541725474</v>
      </c>
      <c r="W81" s="305">
        <v>0.10536991691853657</v>
      </c>
      <c r="X81" s="305">
        <v>0.10536990336785698</v>
      </c>
    </row>
    <row r="82" spans="1:24" x14ac:dyDescent="0.35">
      <c r="A82" s="24" t="s">
        <v>375</v>
      </c>
      <c r="B82" s="24" t="s">
        <v>103</v>
      </c>
      <c r="C82" s="24" t="s">
        <v>104</v>
      </c>
      <c r="D82" s="377">
        <v>40</v>
      </c>
      <c r="E82" s="305">
        <v>3.7328075233463133E-2</v>
      </c>
      <c r="F82" s="305">
        <v>3.7963088198932543E-2</v>
      </c>
      <c r="G82" s="305">
        <v>3.7328059992324407E-2</v>
      </c>
      <c r="H82" s="305">
        <v>3.771969962690102E-2</v>
      </c>
      <c r="I82" s="305">
        <v>3.7584730762905277E-2</v>
      </c>
      <c r="J82" s="305">
        <v>5.4273564315432503E-2</v>
      </c>
      <c r="K82" s="305">
        <v>5.5063490288375698E-2</v>
      </c>
      <c r="L82" s="305">
        <v>5.4273548373203001E-2</v>
      </c>
      <c r="M82" s="305">
        <v>5.4792708354701299E-2</v>
      </c>
      <c r="N82" s="305">
        <v>5.4600827832928099E-2</v>
      </c>
      <c r="O82" s="305">
        <v>0.185286769256164</v>
      </c>
      <c r="P82" s="305">
        <v>0.18489715182722352</v>
      </c>
      <c r="Q82" s="305">
        <v>0.18528676125331164</v>
      </c>
      <c r="R82" s="305">
        <v>0.18489715465040588</v>
      </c>
      <c r="S82" s="305">
        <v>0.18509195924677643</v>
      </c>
      <c r="T82" s="305">
        <v>9.7094083034180864E-2</v>
      </c>
      <c r="U82" s="305">
        <v>9.7094081717975012E-2</v>
      </c>
      <c r="V82" s="305">
        <v>9.7094079090973145E-2</v>
      </c>
      <c r="W82" s="305">
        <v>9.7094087018566685E-2</v>
      </c>
      <c r="X82" s="305">
        <v>9.7094082715423552E-2</v>
      </c>
    </row>
    <row r="83" spans="1:24" x14ac:dyDescent="0.35">
      <c r="A83" s="24" t="s">
        <v>375</v>
      </c>
      <c r="B83" s="24" t="s">
        <v>103</v>
      </c>
      <c r="C83" s="24" t="s">
        <v>104</v>
      </c>
      <c r="D83" s="377">
        <v>45</v>
      </c>
      <c r="E83" s="305">
        <v>3.4465663164189822E-2</v>
      </c>
      <c r="F83" s="305">
        <v>3.4782722454599735E-2</v>
      </c>
      <c r="G83" s="305">
        <v>3.4465649632503176E-2</v>
      </c>
      <c r="H83" s="305">
        <v>3.4540938906645849E-2</v>
      </c>
      <c r="I83" s="305">
        <v>3.4563743539484597E-2</v>
      </c>
      <c r="J83" s="305">
        <v>5.02728846986428E-2</v>
      </c>
      <c r="K83" s="305">
        <v>5.0609198884861401E-2</v>
      </c>
      <c r="L83" s="305">
        <v>5.0272862044948803E-2</v>
      </c>
      <c r="M83" s="305">
        <v>5.0320355951043901E-2</v>
      </c>
      <c r="N83" s="305">
        <v>5.0368825394874202E-2</v>
      </c>
      <c r="O83" s="305">
        <v>0.17096813963419058</v>
      </c>
      <c r="P83" s="305">
        <v>0.17117854839250757</v>
      </c>
      <c r="Q83" s="305">
        <v>0.17096813359555199</v>
      </c>
      <c r="R83" s="305">
        <v>0.17117856239061255</v>
      </c>
      <c r="S83" s="305">
        <v>0.17107334600321586</v>
      </c>
      <c r="T83" s="305">
        <v>9.0657399197594024E-2</v>
      </c>
      <c r="U83" s="305">
        <v>9.0657388836689431E-2</v>
      </c>
      <c r="V83" s="305">
        <v>9.065740201147228E-2</v>
      </c>
      <c r="W83" s="305">
        <v>9.0657410756780812E-2</v>
      </c>
      <c r="X83" s="305">
        <v>9.0657400200634314E-2</v>
      </c>
    </row>
    <row r="84" spans="1:24" x14ac:dyDescent="0.35">
      <c r="A84" s="24" t="s">
        <v>375</v>
      </c>
      <c r="B84" s="24" t="s">
        <v>103</v>
      </c>
      <c r="C84" s="24" t="s">
        <v>104</v>
      </c>
      <c r="D84" s="377">
        <v>50</v>
      </c>
      <c r="E84" s="305">
        <v>3.2351784466800496E-2</v>
      </c>
      <c r="F84" s="305">
        <v>3.2296534997132184E-2</v>
      </c>
      <c r="G84" s="305">
        <v>3.2100001770387021E-2</v>
      </c>
      <c r="H84" s="305">
        <v>3.2159143267945126E-2</v>
      </c>
      <c r="I84" s="305">
        <v>3.222686612556621E-2</v>
      </c>
      <c r="J84" s="305">
        <v>4.7327473332795002E-2</v>
      </c>
      <c r="K84" s="305">
        <v>4.7133530451901599E-2</v>
      </c>
      <c r="L84" s="305">
        <v>4.6959064084755101E-2</v>
      </c>
      <c r="M84" s="305">
        <v>4.6888184033377897E-2</v>
      </c>
      <c r="N84" s="305">
        <v>4.70770629757074E-2</v>
      </c>
      <c r="O84" s="305">
        <v>0.16121207835075754</v>
      </c>
      <c r="P84" s="305">
        <v>0.16038083796325717</v>
      </c>
      <c r="Q84" s="305">
        <v>0.16028263986259153</v>
      </c>
      <c r="R84" s="305">
        <v>0.16038084201874458</v>
      </c>
      <c r="S84" s="305">
        <v>0.16056409954883791</v>
      </c>
      <c r="T84" s="305">
        <v>8.2133703247379397E-2</v>
      </c>
      <c r="U84" s="305">
        <v>8.2050390039874257E-2</v>
      </c>
      <c r="V84" s="305">
        <v>8.2050380997019279E-2</v>
      </c>
      <c r="W84" s="305">
        <v>8.205039222407122E-2</v>
      </c>
      <c r="X84" s="305">
        <v>8.2071216627085997E-2</v>
      </c>
    </row>
    <row r="85" spans="1:24" x14ac:dyDescent="0.35">
      <c r="A85" s="24" t="s">
        <v>375</v>
      </c>
      <c r="B85" s="24" t="s">
        <v>103</v>
      </c>
      <c r="C85" s="24" t="s">
        <v>104</v>
      </c>
      <c r="D85" s="377">
        <v>55</v>
      </c>
      <c r="E85" s="305">
        <v>3.0144340113610998E-2</v>
      </c>
      <c r="F85" s="305">
        <v>3.0494193623840683E-2</v>
      </c>
      <c r="G85" s="305">
        <v>3.0144338034346543E-2</v>
      </c>
      <c r="H85" s="305">
        <v>3.0322553295273481E-2</v>
      </c>
      <c r="I85" s="305">
        <v>3.0276356266767949E-2</v>
      </c>
      <c r="J85" s="305">
        <v>4.4217699723958503E-2</v>
      </c>
      <c r="K85" s="305">
        <v>4.4640068458951E-2</v>
      </c>
      <c r="L85" s="305">
        <v>4.4217687745003703E-2</v>
      </c>
      <c r="M85" s="305">
        <v>4.4309527883645602E-2</v>
      </c>
      <c r="N85" s="305">
        <v>4.4346245952889697E-2</v>
      </c>
      <c r="O85" s="305">
        <v>0.15153971925914594</v>
      </c>
      <c r="P85" s="305">
        <v>0.1515463289934145</v>
      </c>
      <c r="Q85" s="305">
        <v>0.15153972882164224</v>
      </c>
      <c r="R85" s="305">
        <v>0.15154633763413763</v>
      </c>
      <c r="S85" s="305">
        <v>0.15154302867708525</v>
      </c>
      <c r="T85" s="305">
        <v>7.3325401353478134E-2</v>
      </c>
      <c r="U85" s="305">
        <v>7.3325409089735047E-2</v>
      </c>
      <c r="V85" s="305">
        <v>7.3325408256685903E-2</v>
      </c>
      <c r="W85" s="305">
        <v>7.3325414016114088E-2</v>
      </c>
      <c r="X85" s="305">
        <v>7.3325408179003335E-2</v>
      </c>
    </row>
    <row r="86" spans="1:24" x14ac:dyDescent="0.35">
      <c r="A86" s="24" t="s">
        <v>375</v>
      </c>
      <c r="B86" s="24" t="s">
        <v>103</v>
      </c>
      <c r="C86" s="24" t="s">
        <v>104</v>
      </c>
      <c r="D86" s="377">
        <v>60</v>
      </c>
      <c r="E86" s="305">
        <v>2.7341928273525228E-2</v>
      </c>
      <c r="F86" s="305">
        <v>2.9196416493925986E-2</v>
      </c>
      <c r="G86" s="305">
        <v>2.861878342495125E-2</v>
      </c>
      <c r="H86" s="305">
        <v>2.9187338499840232E-2</v>
      </c>
      <c r="I86" s="305">
        <v>2.8586116673060675E-2</v>
      </c>
      <c r="J86" s="305">
        <v>4.0188703718740698E-2</v>
      </c>
      <c r="K86" s="305">
        <v>4.2740268758113514E-2</v>
      </c>
      <c r="L86" s="305">
        <v>4.2102679887951397E-2</v>
      </c>
      <c r="M86" s="305">
        <v>4.265066917401257E-2</v>
      </c>
      <c r="N86" s="305">
        <v>4.1920580384704545E-2</v>
      </c>
      <c r="O86" s="305">
        <v>0.13996145641845206</v>
      </c>
      <c r="P86" s="305">
        <v>0.14359009293132804</v>
      </c>
      <c r="Q86" s="305">
        <v>0.14758591127013643</v>
      </c>
      <c r="R86" s="305">
        <v>0.14359015462426197</v>
      </c>
      <c r="S86" s="305">
        <v>0.14368190381104462</v>
      </c>
      <c r="T86" s="305">
        <v>6.9043626022453869E-2</v>
      </c>
      <c r="U86" s="305">
        <v>6.8234942346341823E-2</v>
      </c>
      <c r="V86" s="305">
        <v>6.9688296598071992E-2</v>
      </c>
      <c r="W86" s="305">
        <v>6.823516071544164E-2</v>
      </c>
      <c r="X86" s="305">
        <v>6.8800506420577334E-2</v>
      </c>
    </row>
    <row r="87" spans="1:24" x14ac:dyDescent="0.35">
      <c r="A87" s="24" t="s">
        <v>375</v>
      </c>
      <c r="B87" s="24" t="s">
        <v>103</v>
      </c>
      <c r="C87" s="24" t="s">
        <v>104</v>
      </c>
      <c r="D87" s="377">
        <v>65</v>
      </c>
      <c r="E87" s="305">
        <v>2.7755748980153296E-2</v>
      </c>
      <c r="F87" s="305">
        <v>2.8595996858199919E-2</v>
      </c>
      <c r="G87" s="305">
        <v>2.7755738529069839E-2</v>
      </c>
      <c r="H87" s="305">
        <v>2.8688895373863866E-2</v>
      </c>
      <c r="I87" s="305">
        <v>2.8199094935321727E-2</v>
      </c>
      <c r="J87" s="305">
        <v>4.1008466402066297E-2</v>
      </c>
      <c r="K87" s="305">
        <v>4.186132196668383E-2</v>
      </c>
      <c r="L87" s="305">
        <v>4.1008467755697497E-2</v>
      </c>
      <c r="M87" s="305">
        <v>4.1922307700828054E-2</v>
      </c>
      <c r="N87" s="305">
        <v>4.1450140956318923E-2</v>
      </c>
      <c r="O87" s="305">
        <v>0.16128823030486922</v>
      </c>
      <c r="P87" s="305">
        <v>0.13724826731600015</v>
      </c>
      <c r="Q87" s="305">
        <v>0.16128822564498213</v>
      </c>
      <c r="R87" s="305">
        <v>0.13724942250759123</v>
      </c>
      <c r="S87" s="305">
        <v>0.14926853644336069</v>
      </c>
      <c r="T87" s="305">
        <v>7.2653096148645749E-2</v>
      </c>
      <c r="U87" s="305">
        <v>6.5220994531107523E-2</v>
      </c>
      <c r="V87" s="305">
        <v>7.2653091045149734E-2</v>
      </c>
      <c r="W87" s="305">
        <v>6.5221750320872282E-2</v>
      </c>
      <c r="X87" s="305">
        <v>6.8937233011443819E-2</v>
      </c>
    </row>
    <row r="88" spans="1:24" x14ac:dyDescent="0.35">
      <c r="A88" s="24" t="s">
        <v>375</v>
      </c>
      <c r="B88" s="24" t="s">
        <v>103</v>
      </c>
      <c r="C88" s="24" t="s">
        <v>104</v>
      </c>
      <c r="D88" s="377">
        <v>70</v>
      </c>
      <c r="E88" s="305">
        <v>2.7752576572449603E-2</v>
      </c>
      <c r="F88" s="305">
        <v>2.9337389590044127E-2</v>
      </c>
      <c r="G88" s="305">
        <v>2.7752566723055445E-2</v>
      </c>
      <c r="H88" s="305">
        <v>2.9433811065491099E-2</v>
      </c>
      <c r="I88" s="305">
        <v>2.8569085987760069E-2</v>
      </c>
      <c r="J88" s="305">
        <v>4.1154613056581399E-2</v>
      </c>
      <c r="K88" s="305">
        <v>4.2946637509463738E-2</v>
      </c>
      <c r="L88" s="305">
        <v>4.1154601740648403E-2</v>
      </c>
      <c r="M88" s="305">
        <v>4.301083287506749E-2</v>
      </c>
      <c r="N88" s="305">
        <v>4.2066671295440262E-2</v>
      </c>
      <c r="O88" s="305">
        <v>0.17438807606191611</v>
      </c>
      <c r="P88" s="305">
        <v>0.13192276953304208</v>
      </c>
      <c r="Q88" s="305">
        <v>0.17438808898052091</v>
      </c>
      <c r="R88" s="305">
        <v>0.13192500967558649</v>
      </c>
      <c r="S88" s="305">
        <v>0.1531559860627664</v>
      </c>
      <c r="T88" s="305">
        <v>7.5253497653860246E-2</v>
      </c>
      <c r="U88" s="305">
        <v>6.2723098594727245E-2</v>
      </c>
      <c r="V88" s="305">
        <v>7.5253498923645135E-2</v>
      </c>
      <c r="W88" s="305">
        <v>6.2724401752600356E-2</v>
      </c>
      <c r="X88" s="305">
        <v>6.8988624231208245E-2</v>
      </c>
    </row>
    <row r="89" spans="1:24" x14ac:dyDescent="0.35">
      <c r="A89" s="24" t="s">
        <v>375</v>
      </c>
      <c r="B89" s="24" t="s">
        <v>103</v>
      </c>
      <c r="C89" s="24" t="s">
        <v>104</v>
      </c>
      <c r="D89" s="377">
        <v>75</v>
      </c>
      <c r="E89" s="305">
        <v>2.9825904991477529E-2</v>
      </c>
      <c r="F89" s="305">
        <v>3.1347932133498707E-2</v>
      </c>
      <c r="G89" s="305">
        <v>2.9108133804914987E-2</v>
      </c>
      <c r="H89" s="305">
        <v>3.1452029709493096E-2</v>
      </c>
      <c r="I89" s="305">
        <v>3.043350015984608E-2</v>
      </c>
      <c r="J89" s="305">
        <v>4.4229175470689407E-2</v>
      </c>
      <c r="K89" s="305">
        <v>4.5889845580041395E-2</v>
      </c>
      <c r="L89" s="305">
        <v>4.3164787823376252E-2</v>
      </c>
      <c r="M89" s="305">
        <v>4.5960001251849243E-2</v>
      </c>
      <c r="N89" s="305">
        <v>4.4810952531489076E-2</v>
      </c>
      <c r="O89" s="305">
        <v>0.16587034523720479</v>
      </c>
      <c r="P89" s="305">
        <v>0.12546840680864513</v>
      </c>
      <c r="Q89" s="305">
        <v>0.16634629752310803</v>
      </c>
      <c r="R89" s="305">
        <v>0.12547095258647736</v>
      </c>
      <c r="S89" s="305">
        <v>0.14578900053885882</v>
      </c>
      <c r="T89" s="305">
        <v>7.1222439993270562E-2</v>
      </c>
      <c r="U89" s="305">
        <v>5.9364889194855178E-2</v>
      </c>
      <c r="V89" s="305">
        <v>7.1172654966136589E-2</v>
      </c>
      <c r="W89" s="305">
        <v>5.9366303768571722E-2</v>
      </c>
      <c r="X89" s="305">
        <v>6.5281571980708511E-2</v>
      </c>
    </row>
    <row r="90" spans="1:24" x14ac:dyDescent="0.35">
      <c r="A90" s="24" t="s">
        <v>375</v>
      </c>
      <c r="B90" s="24" t="s">
        <v>99</v>
      </c>
      <c r="C90" s="24" t="s">
        <v>377</v>
      </c>
      <c r="D90" s="306" t="s">
        <v>376</v>
      </c>
      <c r="E90" s="307">
        <v>1.0312046464678022E-3</v>
      </c>
      <c r="F90" s="307">
        <v>1.0929388897566504E-3</v>
      </c>
      <c r="G90" s="307">
        <v>1.0196043089059593E-3</v>
      </c>
      <c r="H90" s="307">
        <v>1.2104152015991623E-3</v>
      </c>
      <c r="I90" s="307">
        <v>1.0963293678760368E-3</v>
      </c>
      <c r="J90" s="307">
        <v>1.583062186061092E-3</v>
      </c>
      <c r="K90" s="307">
        <v>1.629395945928986E-3</v>
      </c>
      <c r="L90" s="307">
        <v>1.5411200234666401E-3</v>
      </c>
      <c r="M90" s="307">
        <v>1.7847279785200921E-3</v>
      </c>
      <c r="N90" s="307">
        <v>1.631607720628376E-3</v>
      </c>
      <c r="O90" s="307">
        <v>4.0975097250491267E-3</v>
      </c>
      <c r="P90" s="307">
        <v>4.0801182183603747E-3</v>
      </c>
      <c r="Q90" s="307">
        <v>3.7547390866141269E-3</v>
      </c>
      <c r="R90" s="307">
        <v>4.5596466785947478E-3</v>
      </c>
      <c r="S90" s="307">
        <v>3.9977885043015601E-3</v>
      </c>
      <c r="T90" s="307">
        <v>4.0292520738185664E-3</v>
      </c>
      <c r="U90" s="307">
        <v>4.1836488037206576E-3</v>
      </c>
      <c r="V90" s="307">
        <v>3.8515880635471658E-3</v>
      </c>
      <c r="W90" s="307">
        <v>4.8674611738700278E-3</v>
      </c>
      <c r="X90" s="307">
        <v>4.1983615274620596E-3</v>
      </c>
    </row>
    <row r="91" spans="1:24" x14ac:dyDescent="0.35">
      <c r="A91" s="24" t="s">
        <v>375</v>
      </c>
      <c r="B91" s="24" t="s">
        <v>99</v>
      </c>
      <c r="C91" s="24" t="s">
        <v>377</v>
      </c>
      <c r="D91" s="377">
        <v>2.5</v>
      </c>
      <c r="E91" s="305">
        <v>6.3578977485616167E-3</v>
      </c>
      <c r="F91" s="305">
        <v>6.3294920598691833E-3</v>
      </c>
      <c r="G91" s="305">
        <v>6.31893144959275E-3</v>
      </c>
      <c r="H91" s="305">
        <v>6.3189311359210139E-3</v>
      </c>
      <c r="I91" s="305">
        <v>6.331313098486141E-3</v>
      </c>
      <c r="J91" s="305">
        <v>9.2683103767793439E-3</v>
      </c>
      <c r="K91" s="305">
        <v>9.2342845876499987E-3</v>
      </c>
      <c r="L91" s="305">
        <v>9.0627860433111496E-3</v>
      </c>
      <c r="M91" s="305">
        <v>9.06278390903025E-3</v>
      </c>
      <c r="N91" s="305">
        <v>9.1570412291926851E-3</v>
      </c>
      <c r="O91" s="305">
        <v>2.0085260756036987E-2</v>
      </c>
      <c r="P91" s="305">
        <v>3.6247864306422017E-2</v>
      </c>
      <c r="Q91" s="305">
        <v>1.7817840100721617E-2</v>
      </c>
      <c r="R91" s="305">
        <v>1.7122763011241552E-2</v>
      </c>
      <c r="S91" s="305">
        <v>2.2818432043605542E-2</v>
      </c>
      <c r="T91" s="305">
        <v>1.9908202941124668E-2</v>
      </c>
      <c r="U91" s="305">
        <v>1.9974550454606482E-2</v>
      </c>
      <c r="V91" s="305">
        <v>1.7734000836190093E-2</v>
      </c>
      <c r="W91" s="305">
        <v>1.7666713416433701E-2</v>
      </c>
      <c r="X91" s="305">
        <v>1.8820866912088736E-2</v>
      </c>
    </row>
    <row r="92" spans="1:24" x14ac:dyDescent="0.35">
      <c r="A92" s="24" t="s">
        <v>375</v>
      </c>
      <c r="B92" s="24" t="s">
        <v>99</v>
      </c>
      <c r="C92" s="24" t="s">
        <v>377</v>
      </c>
      <c r="D92" s="377">
        <v>5</v>
      </c>
      <c r="E92" s="305">
        <v>3.5246352040893716E-3</v>
      </c>
      <c r="F92" s="305">
        <v>3.5651203937394887E-3</v>
      </c>
      <c r="G92" s="305">
        <v>3.5126627664992531E-3</v>
      </c>
      <c r="H92" s="305">
        <v>3.5608765092908041E-3</v>
      </c>
      <c r="I92" s="305">
        <v>3.5408237184047292E-3</v>
      </c>
      <c r="J92" s="305">
        <v>5.1380840536187989E-3</v>
      </c>
      <c r="K92" s="305">
        <v>5.2012603845032175E-3</v>
      </c>
      <c r="L92" s="305">
        <v>5.0815170980058602E-3</v>
      </c>
      <c r="M92" s="305">
        <v>5.1326397806406004E-3</v>
      </c>
      <c r="N92" s="305">
        <v>5.1383753291921186E-3</v>
      </c>
      <c r="O92" s="305">
        <v>1.0362547394108565E-2</v>
      </c>
      <c r="P92" s="305">
        <v>1.8123932153211009E-2</v>
      </c>
      <c r="Q92" s="305">
        <v>1.0462348185885382E-2</v>
      </c>
      <c r="R92" s="305">
        <v>1.0009331830154162E-2</v>
      </c>
      <c r="S92" s="305">
        <v>1.2239539890839779E-2</v>
      </c>
      <c r="T92" s="305">
        <v>1.000197778074534E-2</v>
      </c>
      <c r="U92" s="305">
        <v>9.9872738235805125E-3</v>
      </c>
      <c r="V92" s="305">
        <v>1.0434382491745125E-2</v>
      </c>
      <c r="W92" s="305">
        <v>1.0411486972815036E-2</v>
      </c>
      <c r="X92" s="305">
        <v>1.0208780267221503E-2</v>
      </c>
    </row>
    <row r="93" spans="1:24" x14ac:dyDescent="0.35">
      <c r="A93" s="24" t="s">
        <v>375</v>
      </c>
      <c r="B93" s="24" t="s">
        <v>99</v>
      </c>
      <c r="C93" s="24" t="s">
        <v>377</v>
      </c>
      <c r="D93" s="377">
        <v>10</v>
      </c>
      <c r="E93" s="305">
        <v>2.1182035857854058E-3</v>
      </c>
      <c r="F93" s="305">
        <v>2.1829209616618483E-3</v>
      </c>
      <c r="G93" s="305">
        <v>2.1213755500477547E-3</v>
      </c>
      <c r="H93" s="305">
        <v>2.1818506564097329E-3</v>
      </c>
      <c r="I93" s="305">
        <v>2.1510876884761852E-3</v>
      </c>
      <c r="J93" s="305">
        <v>3.0878395738131513E-3</v>
      </c>
      <c r="K93" s="305">
        <v>3.184728442924807E-3</v>
      </c>
      <c r="L93" s="305">
        <v>3.09958006255328E-3</v>
      </c>
      <c r="M93" s="305">
        <v>3.16757010295987E-3</v>
      </c>
      <c r="N93" s="305">
        <v>3.1349295455627771E-3</v>
      </c>
      <c r="O93" s="305">
        <v>6.8257365602519635E-3</v>
      </c>
      <c r="P93" s="305">
        <v>9.0619619904293031E-3</v>
      </c>
      <c r="Q93" s="305">
        <v>6.7877163685240386E-3</v>
      </c>
      <c r="R93" s="305">
        <v>7.0140740399614546E-3</v>
      </c>
      <c r="S93" s="305">
        <v>7.42237223979169E-3</v>
      </c>
      <c r="T93" s="305">
        <v>6.4307761447459305E-3</v>
      </c>
      <c r="U93" s="305">
        <v>6.4484832185891247E-3</v>
      </c>
      <c r="V93" s="305">
        <v>6.8353803029232527E-3</v>
      </c>
      <c r="W93" s="305">
        <v>6.8332185294048171E-3</v>
      </c>
      <c r="X93" s="305">
        <v>6.6369645489157813E-3</v>
      </c>
    </row>
    <row r="94" spans="1:24" x14ac:dyDescent="0.35">
      <c r="A94" s="24" t="s">
        <v>375</v>
      </c>
      <c r="B94" s="24" t="s">
        <v>99</v>
      </c>
      <c r="C94" s="24" t="s">
        <v>377</v>
      </c>
      <c r="D94" s="377">
        <v>15</v>
      </c>
      <c r="E94" s="305">
        <v>1.6765838134502522E-3</v>
      </c>
      <c r="F94" s="305">
        <v>1.7221801686674271E-3</v>
      </c>
      <c r="G94" s="305">
        <v>1.6805293895454862E-3</v>
      </c>
      <c r="H94" s="305">
        <v>1.7221801686674271E-3</v>
      </c>
      <c r="I94" s="305">
        <v>1.7003683850826483E-3</v>
      </c>
      <c r="J94" s="305">
        <v>2.4440624511862835E-3</v>
      </c>
      <c r="K94" s="305">
        <v>2.5125399697571902E-3</v>
      </c>
      <c r="L94" s="305">
        <v>2.4557683694486801E-3</v>
      </c>
      <c r="M94" s="305">
        <v>2.5125399697571902E-3</v>
      </c>
      <c r="N94" s="305">
        <v>2.4812276900373362E-3</v>
      </c>
      <c r="O94" s="305">
        <v>5.6736971061974876E-3</v>
      </c>
      <c r="P94" s="305">
        <v>6.0413011833258716E-3</v>
      </c>
      <c r="Q94" s="305">
        <v>5.6722389546584959E-3</v>
      </c>
      <c r="R94" s="305">
        <v>6.0413011833258716E-3</v>
      </c>
      <c r="S94" s="305">
        <v>5.8571346068769315E-3</v>
      </c>
      <c r="T94" s="305">
        <v>5.9786796117116845E-3</v>
      </c>
      <c r="U94" s="305">
        <v>6.0155189812441849E-3</v>
      </c>
      <c r="V94" s="305">
        <v>6.0155189812441849E-3</v>
      </c>
      <c r="W94" s="305">
        <v>6.0155189812441849E-3</v>
      </c>
      <c r="X94" s="305">
        <v>6.0063091388610594E-3</v>
      </c>
    </row>
    <row r="95" spans="1:24" x14ac:dyDescent="0.35">
      <c r="A95" s="24" t="s">
        <v>375</v>
      </c>
      <c r="B95" s="24" t="s">
        <v>99</v>
      </c>
      <c r="C95" s="24" t="s">
        <v>377</v>
      </c>
      <c r="D95" s="377">
        <v>20</v>
      </c>
      <c r="E95" s="305">
        <v>1.3993011819652076E-3</v>
      </c>
      <c r="F95" s="305">
        <v>1.483615781563888E-3</v>
      </c>
      <c r="G95" s="305">
        <v>1.3993011819652076E-3</v>
      </c>
      <c r="H95" s="305">
        <v>1.4836164515880774E-3</v>
      </c>
      <c r="I95" s="305">
        <v>1.441458649270595E-3</v>
      </c>
      <c r="J95" s="305">
        <v>2.0398499909788301E-3</v>
      </c>
      <c r="K95" s="305">
        <v>2.1749599836766698E-3</v>
      </c>
      <c r="L95" s="305">
        <v>2.0398499909788301E-3</v>
      </c>
      <c r="M95" s="305">
        <v>2.1749599836766698E-3</v>
      </c>
      <c r="N95" s="305">
        <v>2.1074049873277502E-3</v>
      </c>
      <c r="O95" s="305">
        <v>5.0128611646418804E-3</v>
      </c>
      <c r="P95" s="305">
        <v>5.2900668525197323E-3</v>
      </c>
      <c r="Q95" s="305">
        <v>5.0128611646418804E-3</v>
      </c>
      <c r="R95" s="305">
        <v>5.2900667284495077E-3</v>
      </c>
      <c r="S95" s="305">
        <v>5.1514639775632476E-3</v>
      </c>
      <c r="T95" s="305">
        <v>5.4367557372609898E-3</v>
      </c>
      <c r="U95" s="305">
        <v>5.4367557543038457E-3</v>
      </c>
      <c r="V95" s="305">
        <v>5.4367557429419412E-3</v>
      </c>
      <c r="W95" s="305">
        <v>5.4367557543038457E-3</v>
      </c>
      <c r="X95" s="305">
        <v>5.4367557472026562E-3</v>
      </c>
    </row>
    <row r="96" spans="1:24" x14ac:dyDescent="0.35">
      <c r="A96" s="24" t="s">
        <v>375</v>
      </c>
      <c r="B96" s="24" t="s">
        <v>99</v>
      </c>
      <c r="C96" s="24" t="s">
        <v>377</v>
      </c>
      <c r="D96" s="377">
        <v>25</v>
      </c>
      <c r="E96" s="305">
        <v>1.2493019257907192E-3</v>
      </c>
      <c r="F96" s="305">
        <v>1.3229041552404984E-3</v>
      </c>
      <c r="G96" s="305">
        <v>1.2493019257907192E-3</v>
      </c>
      <c r="H96" s="305">
        <v>1.3229041552404984E-3</v>
      </c>
      <c r="I96" s="305">
        <v>1.286103040515605E-3</v>
      </c>
      <c r="J96" s="305">
        <v>1.8286899430677199E-3</v>
      </c>
      <c r="K96" s="305">
        <v>1.95211998652666E-3</v>
      </c>
      <c r="L96" s="305">
        <v>1.8286899430677199E-3</v>
      </c>
      <c r="M96" s="305">
        <v>1.95211998652666E-3</v>
      </c>
      <c r="N96" s="305">
        <v>1.8904049647971901E-3</v>
      </c>
      <c r="O96" s="305">
        <v>4.4921373955572001E-3</v>
      </c>
      <c r="P96" s="305">
        <v>4.7909742477665399E-3</v>
      </c>
      <c r="Q96" s="305">
        <v>4.4921373955572001E-3</v>
      </c>
      <c r="R96" s="305">
        <v>4.7909742477665399E-3</v>
      </c>
      <c r="S96" s="305">
        <v>4.6415558216618682E-3</v>
      </c>
      <c r="T96" s="305">
        <v>4.9707922418076138E-3</v>
      </c>
      <c r="U96" s="305">
        <v>4.9707922418076138E-3</v>
      </c>
      <c r="V96" s="305">
        <v>4.9707922418076138E-3</v>
      </c>
      <c r="W96" s="305">
        <v>4.9707922418076138E-3</v>
      </c>
      <c r="X96" s="305">
        <v>4.9707922418076138E-3</v>
      </c>
    </row>
    <row r="97" spans="1:24" x14ac:dyDescent="0.35">
      <c r="A97" s="24" t="s">
        <v>375</v>
      </c>
      <c r="B97" s="24" t="s">
        <v>99</v>
      </c>
      <c r="C97" s="24" t="s">
        <v>377</v>
      </c>
      <c r="D97" s="377">
        <v>30</v>
      </c>
      <c r="E97" s="305">
        <v>1.152373737517681E-3</v>
      </c>
      <c r="F97" s="305">
        <v>1.1822936332130179E-3</v>
      </c>
      <c r="G97" s="305">
        <v>1.1523737988262471E-3</v>
      </c>
      <c r="H97" s="305">
        <v>1.1822929631888283E-3</v>
      </c>
      <c r="I97" s="305">
        <v>1.1673335331864394E-3</v>
      </c>
      <c r="J97" s="305">
        <v>1.6937400214374E-3</v>
      </c>
      <c r="K97" s="305">
        <v>1.74287997651845E-3</v>
      </c>
      <c r="L97" s="305">
        <v>1.6937404385923001E-3</v>
      </c>
      <c r="M97" s="305">
        <v>1.74287997651845E-3</v>
      </c>
      <c r="N97" s="305">
        <v>1.71831010326665E-3</v>
      </c>
      <c r="O97" s="305">
        <v>4.411710583836239E-3</v>
      </c>
      <c r="P97" s="305">
        <v>4.5018145617094522E-3</v>
      </c>
      <c r="Q97" s="305">
        <v>4.411710583836239E-3</v>
      </c>
      <c r="R97" s="305">
        <v>4.5018147863017995E-3</v>
      </c>
      <c r="S97" s="305">
        <v>4.4567626289209322E-3</v>
      </c>
      <c r="T97" s="305">
        <v>4.8416284068856317E-3</v>
      </c>
      <c r="U97" s="305">
        <v>4.8416284068856317E-3</v>
      </c>
      <c r="V97" s="305">
        <v>4.8416284068856317E-3</v>
      </c>
      <c r="W97" s="305">
        <v>4.8416284068856317E-3</v>
      </c>
      <c r="X97" s="305">
        <v>4.8416284068856317E-3</v>
      </c>
    </row>
    <row r="98" spans="1:24" x14ac:dyDescent="0.35">
      <c r="A98" s="24" t="s">
        <v>375</v>
      </c>
      <c r="B98" s="24" t="s">
        <v>99</v>
      </c>
      <c r="C98" s="24" t="s">
        <v>377</v>
      </c>
      <c r="D98" s="377">
        <v>35</v>
      </c>
      <c r="E98" s="305">
        <v>1.1119066984883795E-3</v>
      </c>
      <c r="F98" s="305">
        <v>1.1216959500663056E-3</v>
      </c>
      <c r="G98" s="305">
        <v>1.1119064667067544E-3</v>
      </c>
      <c r="H98" s="305">
        <v>1.1181087859463204E-3</v>
      </c>
      <c r="I98" s="305">
        <v>1.11590447530194E-3</v>
      </c>
      <c r="J98" s="305">
        <v>1.64770998526364E-3</v>
      </c>
      <c r="K98" s="305">
        <v>1.6635799547657299E-3</v>
      </c>
      <c r="L98" s="305">
        <v>1.64770998526364E-3</v>
      </c>
      <c r="M98" s="305">
        <v>1.6576900379732199E-3</v>
      </c>
      <c r="N98" s="305">
        <v>1.6541724908165599E-3</v>
      </c>
      <c r="O98" s="305">
        <v>3.946645853979496E-3</v>
      </c>
      <c r="P98" s="305">
        <v>4.2116199456038181E-3</v>
      </c>
      <c r="Q98" s="305">
        <v>3.9466461552125085E-3</v>
      </c>
      <c r="R98" s="305">
        <v>4.2116196443708056E-3</v>
      </c>
      <c r="S98" s="305">
        <v>4.0791328997916579E-3</v>
      </c>
      <c r="T98" s="305">
        <v>4.2425001604070207E-3</v>
      </c>
      <c r="U98" s="305">
        <v>4.2425013970380883E-3</v>
      </c>
      <c r="V98" s="305">
        <v>4.2425013970380883E-3</v>
      </c>
      <c r="W98" s="305">
        <v>4.2425013970380883E-3</v>
      </c>
      <c r="X98" s="305">
        <v>4.242501087880322E-3</v>
      </c>
    </row>
    <row r="99" spans="1:24" x14ac:dyDescent="0.35">
      <c r="A99" s="24" t="s">
        <v>375</v>
      </c>
      <c r="B99" s="24" t="s">
        <v>99</v>
      </c>
      <c r="C99" s="24" t="s">
        <v>377</v>
      </c>
      <c r="D99" s="377">
        <v>40</v>
      </c>
      <c r="E99" s="305">
        <v>1.0843505678772207E-3</v>
      </c>
      <c r="F99" s="305">
        <v>1.0857496246792367E-3</v>
      </c>
      <c r="G99" s="305">
        <v>1.0843504452600885E-3</v>
      </c>
      <c r="H99" s="305">
        <v>1.0786665472185281E-3</v>
      </c>
      <c r="I99" s="305">
        <v>1.0832792962587681E-3</v>
      </c>
      <c r="J99" s="305">
        <v>1.61808955211502E-3</v>
      </c>
      <c r="K99" s="305">
        <v>1.6208499437198E-3</v>
      </c>
      <c r="L99" s="305">
        <v>1.6180887178052199E-3</v>
      </c>
      <c r="M99" s="305">
        <v>1.6092299483716399E-3</v>
      </c>
      <c r="N99" s="305">
        <v>1.61656454050292E-3</v>
      </c>
      <c r="O99" s="305">
        <v>3.8398750280668049E-3</v>
      </c>
      <c r="P99" s="305">
        <v>4.0472427865495143E-3</v>
      </c>
      <c r="Q99" s="305">
        <v>3.8398750280668049E-3</v>
      </c>
      <c r="R99" s="305">
        <v>4.0472427865495143E-3</v>
      </c>
      <c r="S99" s="305">
        <v>3.9435589073081615E-3</v>
      </c>
      <c r="T99" s="305">
        <v>4.1689353826250327E-3</v>
      </c>
      <c r="U99" s="305">
        <v>4.1689356553912997E-3</v>
      </c>
      <c r="V99" s="305">
        <v>4.16893478496846E-3</v>
      </c>
      <c r="W99" s="305">
        <v>4.1689347924147527E-3</v>
      </c>
      <c r="X99" s="305">
        <v>4.1689351538498846E-3</v>
      </c>
    </row>
    <row r="100" spans="1:24" x14ac:dyDescent="0.35">
      <c r="A100" s="24" t="s">
        <v>375</v>
      </c>
      <c r="B100" s="24" t="s">
        <v>99</v>
      </c>
      <c r="C100" s="24" t="s">
        <v>377</v>
      </c>
      <c r="D100" s="377">
        <v>45</v>
      </c>
      <c r="E100" s="305">
        <v>1.0629167930021183E-3</v>
      </c>
      <c r="F100" s="305">
        <v>1.0577916493879668E-3</v>
      </c>
      <c r="G100" s="305">
        <v>1.0629167930021183E-3</v>
      </c>
      <c r="H100" s="305">
        <v>1.0493030479986789E-3</v>
      </c>
      <c r="I100" s="305">
        <v>1.0582320708477214E-3</v>
      </c>
      <c r="J100" s="305">
        <v>1.5950399683788399E-3</v>
      </c>
      <c r="K100" s="305">
        <v>1.5876200050115501E-3</v>
      </c>
      <c r="L100" s="305">
        <v>1.5950399683788399E-3</v>
      </c>
      <c r="M100" s="305">
        <v>1.5722200041636801E-3</v>
      </c>
      <c r="N100" s="305">
        <v>1.5874799864832301E-3</v>
      </c>
      <c r="O100" s="305">
        <v>3.7636262062163352E-3</v>
      </c>
      <c r="P100" s="305">
        <v>3.9208065058759572E-3</v>
      </c>
      <c r="Q100" s="305">
        <v>3.7636262781014862E-3</v>
      </c>
      <c r="R100" s="305">
        <v>3.9208065058759572E-3</v>
      </c>
      <c r="S100" s="305">
        <v>3.8422163740174341E-3</v>
      </c>
      <c r="T100" s="305">
        <v>4.112473765209893E-3</v>
      </c>
      <c r="U100" s="305">
        <v>4.112473765209893E-3</v>
      </c>
      <c r="V100" s="305">
        <v>4.1124743835254281E-3</v>
      </c>
      <c r="W100" s="305">
        <v>4.1124746926831943E-3</v>
      </c>
      <c r="X100" s="305">
        <v>4.1124741516571067E-3</v>
      </c>
    </row>
    <row r="101" spans="1:24" x14ac:dyDescent="0.35">
      <c r="A101" s="24" t="s">
        <v>375</v>
      </c>
      <c r="B101" s="24" t="s">
        <v>99</v>
      </c>
      <c r="C101" s="24" t="s">
        <v>377</v>
      </c>
      <c r="D101" s="377">
        <v>50</v>
      </c>
      <c r="E101" s="305">
        <v>1.0350175924666138E-3</v>
      </c>
      <c r="F101" s="305">
        <v>1.0371587076247746E-3</v>
      </c>
      <c r="G101" s="305">
        <v>1.0350175924666138E-3</v>
      </c>
      <c r="H101" s="305">
        <v>1.0280406524745449E-3</v>
      </c>
      <c r="I101" s="305">
        <v>1.0338086362581373E-3</v>
      </c>
      <c r="J101" s="305">
        <v>1.5605899970978401E-3</v>
      </c>
      <c r="K101" s="305">
        <v>1.5639299526810601E-3</v>
      </c>
      <c r="L101" s="305">
        <v>1.5605899970978401E-3</v>
      </c>
      <c r="M101" s="305">
        <v>1.5437799738720001E-3</v>
      </c>
      <c r="N101" s="305">
        <v>1.55722248018719E-3</v>
      </c>
      <c r="O101" s="305">
        <v>3.7576674364071454E-3</v>
      </c>
      <c r="P101" s="305">
        <v>3.8311154864742372E-3</v>
      </c>
      <c r="Q101" s="305">
        <v>3.757667211814798E-3</v>
      </c>
      <c r="R101" s="305">
        <v>3.8311152147856822E-3</v>
      </c>
      <c r="S101" s="305">
        <v>3.7943913373704673E-3</v>
      </c>
      <c r="T101" s="305">
        <v>3.9556747326295449E-3</v>
      </c>
      <c r="U101" s="305">
        <v>3.9556747326295449E-3</v>
      </c>
      <c r="V101" s="305">
        <v>3.9556747326295449E-3</v>
      </c>
      <c r="W101" s="305">
        <v>3.9556747326295449E-3</v>
      </c>
      <c r="X101" s="305">
        <v>3.9556747326295449E-3</v>
      </c>
    </row>
    <row r="102" spans="1:24" x14ac:dyDescent="0.35">
      <c r="A102" s="24" t="s">
        <v>375</v>
      </c>
      <c r="B102" s="24" t="s">
        <v>99</v>
      </c>
      <c r="C102" s="24" t="s">
        <v>377</v>
      </c>
      <c r="D102" s="377">
        <v>55</v>
      </c>
      <c r="E102" s="305">
        <v>1.0093287865321897E-3</v>
      </c>
      <c r="F102" s="305">
        <v>1.0271897385464013E-3</v>
      </c>
      <c r="G102" s="305">
        <v>1.0093287865321897E-3</v>
      </c>
      <c r="H102" s="305">
        <v>1.0168339192998968E-3</v>
      </c>
      <c r="I102" s="305">
        <v>1.0156703077276702E-3</v>
      </c>
      <c r="J102" s="305">
        <v>1.52814004104584E-3</v>
      </c>
      <c r="K102" s="305">
        <v>1.5560700558125899E-3</v>
      </c>
      <c r="L102" s="305">
        <v>1.52814004104584E-3</v>
      </c>
      <c r="M102" s="305">
        <v>1.53363996651023E-3</v>
      </c>
      <c r="N102" s="305">
        <v>1.53649752610363E-3</v>
      </c>
      <c r="O102" s="305">
        <v>3.7527874523317095E-3</v>
      </c>
      <c r="P102" s="305">
        <v>3.7577347648917164E-3</v>
      </c>
      <c r="Q102" s="305">
        <v>3.7527870031470131E-3</v>
      </c>
      <c r="R102" s="305">
        <v>3.7577347648917164E-3</v>
      </c>
      <c r="S102" s="305">
        <v>3.7552609963155369E-3</v>
      </c>
      <c r="T102" s="305">
        <v>3.7821970740121199E-3</v>
      </c>
      <c r="U102" s="305">
        <v>3.7821969015509643E-3</v>
      </c>
      <c r="V102" s="305">
        <v>3.7821969508255796E-3</v>
      </c>
      <c r="W102" s="305">
        <v>3.7821969015509643E-3</v>
      </c>
      <c r="X102" s="305">
        <v>3.7821969569849065E-3</v>
      </c>
    </row>
    <row r="103" spans="1:24" x14ac:dyDescent="0.35">
      <c r="A103" s="24" t="s">
        <v>375</v>
      </c>
      <c r="B103" s="24" t="s">
        <v>99</v>
      </c>
      <c r="C103" s="24" t="s">
        <v>377</v>
      </c>
      <c r="D103" s="377">
        <v>60</v>
      </c>
      <c r="E103" s="305">
        <v>9.9607949985431894E-4</v>
      </c>
      <c r="F103" s="305">
        <v>1.0175315070885048E-3</v>
      </c>
      <c r="G103" s="305">
        <v>9.96079632300962E-4</v>
      </c>
      <c r="H103" s="305">
        <v>1.0123245083605414E-3</v>
      </c>
      <c r="I103" s="305">
        <v>1.0055037869010817E-3</v>
      </c>
      <c r="J103" s="305">
        <v>1.51471002027392E-3</v>
      </c>
      <c r="K103" s="305">
        <v>1.5414389860113984E-3</v>
      </c>
      <c r="L103" s="305">
        <v>1.51471002027392E-3</v>
      </c>
      <c r="M103" s="305">
        <v>1.5268386465397328E-3</v>
      </c>
      <c r="N103" s="305">
        <v>1.5244244182747429E-3</v>
      </c>
      <c r="O103" s="305">
        <v>3.7319753580804527E-3</v>
      </c>
      <c r="P103" s="305">
        <v>3.7576271563381915E-3</v>
      </c>
      <c r="Q103" s="305">
        <v>3.7319753580804527E-3</v>
      </c>
      <c r="R103" s="305">
        <v>3.7576136558772144E-3</v>
      </c>
      <c r="S103" s="305">
        <v>3.7447978820940777E-3</v>
      </c>
      <c r="T103" s="305">
        <v>3.7975903971269073E-3</v>
      </c>
      <c r="U103" s="305">
        <v>3.7524805635832524E-3</v>
      </c>
      <c r="V103" s="305">
        <v>3.7975903971269073E-3</v>
      </c>
      <c r="W103" s="305">
        <v>3.7525409446686874E-3</v>
      </c>
      <c r="X103" s="305">
        <v>3.7750505756264387E-3</v>
      </c>
    </row>
    <row r="104" spans="1:24" x14ac:dyDescent="0.35">
      <c r="A104" s="24" t="s">
        <v>375</v>
      </c>
      <c r="B104" s="24" t="s">
        <v>99</v>
      </c>
      <c r="C104" s="24" t="s">
        <v>377</v>
      </c>
      <c r="D104" s="377">
        <v>65</v>
      </c>
      <c r="E104" s="305">
        <v>1.0144904462217035E-3</v>
      </c>
      <c r="F104" s="305">
        <v>1.0208921334899494E-3</v>
      </c>
      <c r="G104" s="305">
        <v>1.0144904462217035E-3</v>
      </c>
      <c r="H104" s="305">
        <v>1.0189183167844946E-3</v>
      </c>
      <c r="I104" s="305">
        <v>1.0171978356794628E-3</v>
      </c>
      <c r="J104" s="305">
        <v>1.5532500110566601E-3</v>
      </c>
      <c r="K104" s="305">
        <v>1.5465299345633779E-3</v>
      </c>
      <c r="L104" s="305">
        <v>1.5532500110566601E-3</v>
      </c>
      <c r="M104" s="305">
        <v>1.5367837594421905E-3</v>
      </c>
      <c r="N104" s="305">
        <v>1.5474534290297222E-3</v>
      </c>
      <c r="O104" s="305">
        <v>3.9973441912477302E-3</v>
      </c>
      <c r="P104" s="305">
        <v>4.0297743502347152E-3</v>
      </c>
      <c r="Q104" s="305">
        <v>3.9973441193625787E-3</v>
      </c>
      <c r="R104" s="305">
        <v>4.0297702303455623E-3</v>
      </c>
      <c r="S104" s="305">
        <v>4.0135582227976471E-3</v>
      </c>
      <c r="T104" s="305">
        <v>3.9692928690932975E-3</v>
      </c>
      <c r="U104" s="305">
        <v>3.9946132452300239E-3</v>
      </c>
      <c r="V104" s="305">
        <v>3.9692928768941755E-3</v>
      </c>
      <c r="W104" s="305">
        <v>3.9946740908401411E-3</v>
      </c>
      <c r="X104" s="305">
        <v>3.9819682705144093E-3</v>
      </c>
    </row>
    <row r="105" spans="1:24" x14ac:dyDescent="0.35">
      <c r="A105" s="24" t="s">
        <v>375</v>
      </c>
      <c r="B105" s="24" t="s">
        <v>99</v>
      </c>
      <c r="C105" s="24" t="s">
        <v>377</v>
      </c>
      <c r="D105" s="377">
        <v>70</v>
      </c>
      <c r="E105" s="305">
        <v>1.0562759468369504E-3</v>
      </c>
      <c r="F105" s="305">
        <v>1.053017381769232E-3</v>
      </c>
      <c r="G105" s="305">
        <v>1.0562756537467574E-3</v>
      </c>
      <c r="H105" s="305">
        <v>1.0509815500940028E-3</v>
      </c>
      <c r="I105" s="305">
        <v>1.0541376331117355E-3</v>
      </c>
      <c r="J105" s="305">
        <v>1.6277804485677399E-3</v>
      </c>
      <c r="K105" s="305">
        <v>1.5951958577195781E-3</v>
      </c>
      <c r="L105" s="305">
        <v>1.6277800314128299E-3</v>
      </c>
      <c r="M105" s="305">
        <v>1.5851431376313651E-3</v>
      </c>
      <c r="N105" s="305">
        <v>1.6089748688328785E-3</v>
      </c>
      <c r="O105" s="305">
        <v>4.2477580257512223E-3</v>
      </c>
      <c r="P105" s="305">
        <v>4.2871759956621619E-3</v>
      </c>
      <c r="Q105" s="305">
        <v>4.2477572711521342E-3</v>
      </c>
      <c r="R105" s="305">
        <v>4.2871634174067091E-3</v>
      </c>
      <c r="S105" s="305">
        <v>4.2674636774930573E-3</v>
      </c>
      <c r="T105" s="305">
        <v>4.1191908809064693E-3</v>
      </c>
      <c r="U105" s="305">
        <v>4.2021974673834952E-3</v>
      </c>
      <c r="V105" s="305">
        <v>4.1191908809064693E-3</v>
      </c>
      <c r="W105" s="305">
        <v>4.2022299434298863E-3</v>
      </c>
      <c r="X105" s="305">
        <v>4.1607022931565802E-3</v>
      </c>
    </row>
    <row r="106" spans="1:24" x14ac:dyDescent="0.35">
      <c r="A106" s="24" t="s">
        <v>375</v>
      </c>
      <c r="B106" s="24" t="s">
        <v>99</v>
      </c>
      <c r="C106" s="24" t="s">
        <v>377</v>
      </c>
      <c r="D106" s="377">
        <v>75</v>
      </c>
      <c r="E106" s="305">
        <v>1.1126099581975112E-3</v>
      </c>
      <c r="F106" s="305">
        <v>1.1103969349533834E-3</v>
      </c>
      <c r="G106" s="305">
        <v>1.1041312867636781E-3</v>
      </c>
      <c r="H106" s="305">
        <v>1.108252587811715E-3</v>
      </c>
      <c r="I106" s="305">
        <v>1.108847691931572E-3</v>
      </c>
      <c r="J106" s="305">
        <v>1.714594318141037E-3</v>
      </c>
      <c r="K106" s="305">
        <v>1.6821190435490198E-3</v>
      </c>
      <c r="L106" s="305">
        <v>1.7015282462270664E-3</v>
      </c>
      <c r="M106" s="305">
        <v>1.6715221919688446E-3</v>
      </c>
      <c r="N106" s="305">
        <v>1.6924409499714918E-3</v>
      </c>
      <c r="O106" s="305">
        <v>4.2455649197119796E-3</v>
      </c>
      <c r="P106" s="305">
        <v>4.2863508643919647E-3</v>
      </c>
      <c r="Q106" s="305">
        <v>4.2422945339818871E-3</v>
      </c>
      <c r="R106" s="305">
        <v>4.2863291549822191E-3</v>
      </c>
      <c r="S106" s="305">
        <v>4.2651348682670124E-3</v>
      </c>
      <c r="T106" s="305">
        <v>4.000069043793659E-3</v>
      </c>
      <c r="U106" s="305">
        <v>4.0784376289905878E-3</v>
      </c>
      <c r="V106" s="305">
        <v>4.0053508836393791E-3</v>
      </c>
      <c r="W106" s="305">
        <v>4.0784702885392522E-3</v>
      </c>
      <c r="X106" s="305">
        <v>4.0405819612407195E-3</v>
      </c>
    </row>
    <row r="107" spans="1:24" x14ac:dyDescent="0.35">
      <c r="A107" s="24" t="s">
        <v>375</v>
      </c>
      <c r="B107" s="24" t="s">
        <v>378</v>
      </c>
      <c r="C107" s="24" t="s">
        <v>379</v>
      </c>
      <c r="D107" s="306" t="s">
        <v>376</v>
      </c>
      <c r="E107" s="307">
        <v>1.0372942859611369</v>
      </c>
      <c r="F107" s="307">
        <v>1.1185535931564621</v>
      </c>
      <c r="G107" s="307">
        <v>0.92071906075665522</v>
      </c>
      <c r="H107" s="307">
        <v>1.3748023247189387</v>
      </c>
      <c r="I107" s="307">
        <v>1.093425148663719</v>
      </c>
      <c r="J107" s="307">
        <v>1.4866026216336921</v>
      </c>
      <c r="K107" s="307">
        <v>1.445356451132094</v>
      </c>
      <c r="L107" s="307">
        <v>1.2626247859011799</v>
      </c>
      <c r="M107" s="307">
        <v>1.739183359597996</v>
      </c>
      <c r="N107" s="307">
        <v>1.416138222149788</v>
      </c>
      <c r="O107" s="307">
        <v>9.3314598077881712</v>
      </c>
      <c r="P107" s="307">
        <v>5.2148185545112344</v>
      </c>
      <c r="Q107" s="307">
        <v>5.3735635015465473</v>
      </c>
      <c r="R107" s="307">
        <v>5.1026136881964543</v>
      </c>
      <c r="S107" s="307">
        <v>4.9186108037210898</v>
      </c>
      <c r="T107" s="307">
        <v>1.6324727580484584</v>
      </c>
      <c r="U107" s="307">
        <v>2.1559421523386835</v>
      </c>
      <c r="V107" s="307">
        <v>1.6975660281893694</v>
      </c>
      <c r="W107" s="307">
        <v>2.8583053218561241</v>
      </c>
      <c r="X107" s="307">
        <v>2.2007852535377586</v>
      </c>
    </row>
    <row r="108" spans="1:24" x14ac:dyDescent="0.35">
      <c r="A108" s="24" t="s">
        <v>375</v>
      </c>
      <c r="B108" s="24" t="s">
        <v>378</v>
      </c>
      <c r="C108" s="24" t="s">
        <v>379</v>
      </c>
      <c r="D108" s="377">
        <v>2.5</v>
      </c>
      <c r="E108" s="305">
        <v>5.493266898578625</v>
      </c>
      <c r="F108" s="305">
        <v>5.75446697316168</v>
      </c>
      <c r="G108" s="305">
        <v>4.5787271532721014</v>
      </c>
      <c r="H108" s="305">
        <v>4.5787248887148371</v>
      </c>
      <c r="I108" s="305">
        <v>5.1012964784318111</v>
      </c>
      <c r="J108" s="305">
        <v>6.9175474329359492</v>
      </c>
      <c r="K108" s="305">
        <v>7.1560345451793461</v>
      </c>
      <c r="L108" s="305">
        <v>5.6416207449510596</v>
      </c>
      <c r="M108" s="305">
        <v>5.64162157941609</v>
      </c>
      <c r="N108" s="305">
        <v>6.339206075620611</v>
      </c>
      <c r="O108" s="305">
        <v>29.160389901739418</v>
      </c>
      <c r="P108" s="305">
        <v>29.566561759514634</v>
      </c>
      <c r="Q108" s="305">
        <v>23.641289298598991</v>
      </c>
      <c r="R108" s="305">
        <v>21.991596525345763</v>
      </c>
      <c r="S108" s="305">
        <v>26.089959371299699</v>
      </c>
      <c r="T108" s="305">
        <v>19.283305790623537</v>
      </c>
      <c r="U108" s="305">
        <v>20.471701683402745</v>
      </c>
      <c r="V108" s="305">
        <v>14.281371213416358</v>
      </c>
      <c r="W108" s="305">
        <v>14.192699181539991</v>
      </c>
      <c r="X108" s="305">
        <v>17.057269467245657</v>
      </c>
    </row>
    <row r="109" spans="1:24" x14ac:dyDescent="0.35">
      <c r="A109" s="24" t="s">
        <v>375</v>
      </c>
      <c r="B109" s="24" t="s">
        <v>378</v>
      </c>
      <c r="C109" s="24" t="s">
        <v>379</v>
      </c>
      <c r="D109" s="377">
        <v>5</v>
      </c>
      <c r="E109" s="305">
        <v>3.1689747967888988</v>
      </c>
      <c r="F109" s="305">
        <v>3.4547247557258109</v>
      </c>
      <c r="G109" s="305">
        <v>2.6865657081166843</v>
      </c>
      <c r="H109" s="305">
        <v>2.997306340356527</v>
      </c>
      <c r="I109" s="305">
        <v>3.07689290024698</v>
      </c>
      <c r="J109" s="305">
        <v>3.9906186746975534</v>
      </c>
      <c r="K109" s="305">
        <v>4.2961632782605212</v>
      </c>
      <c r="L109" s="305">
        <v>3.32434723601909</v>
      </c>
      <c r="M109" s="305">
        <v>3.7064149143407099</v>
      </c>
      <c r="N109" s="305">
        <v>3.8293860258294687</v>
      </c>
      <c r="O109" s="305">
        <v>14.580195118920779</v>
      </c>
      <c r="P109" s="305">
        <v>14.783280879757317</v>
      </c>
      <c r="Q109" s="305">
        <v>14.087717170856717</v>
      </c>
      <c r="R109" s="305">
        <v>12.710859613947235</v>
      </c>
      <c r="S109" s="305">
        <v>14.040513195870513</v>
      </c>
      <c r="T109" s="305">
        <v>9.6416530064412882</v>
      </c>
      <c r="U109" s="305">
        <v>10.235850841701373</v>
      </c>
      <c r="V109" s="305">
        <v>8.9059894161111206</v>
      </c>
      <c r="W109" s="305">
        <v>8.8714219216941199</v>
      </c>
      <c r="X109" s="305">
        <v>9.4137287964869749</v>
      </c>
    </row>
    <row r="110" spans="1:24" x14ac:dyDescent="0.35">
      <c r="A110" s="24" t="s">
        <v>375</v>
      </c>
      <c r="B110" s="24" t="s">
        <v>378</v>
      </c>
      <c r="C110" s="24" t="s">
        <v>379</v>
      </c>
      <c r="D110" s="377">
        <v>10</v>
      </c>
      <c r="E110" s="305">
        <v>1.9977076724967711</v>
      </c>
      <c r="F110" s="305">
        <v>2.314513877918877</v>
      </c>
      <c r="G110" s="305">
        <v>1.7725843232469833</v>
      </c>
      <c r="H110" s="305">
        <v>2.2066015347239172</v>
      </c>
      <c r="I110" s="305">
        <v>2.0728518520966372</v>
      </c>
      <c r="J110" s="305">
        <v>2.5156683330300589</v>
      </c>
      <c r="K110" s="305">
        <v>2.8782407376620007</v>
      </c>
      <c r="L110" s="305">
        <v>2.2023867426905701</v>
      </c>
      <c r="M110" s="305">
        <v>2.7388135776660998</v>
      </c>
      <c r="N110" s="305">
        <v>2.5837773477621822</v>
      </c>
      <c r="O110" s="305">
        <v>8.5095944459128923</v>
      </c>
      <c r="P110" s="305">
        <v>8.628038368171417</v>
      </c>
      <c r="Q110" s="305">
        <v>9.0972490767033971</v>
      </c>
      <c r="R110" s="305">
        <v>8.7642257291279009</v>
      </c>
      <c r="S110" s="305">
        <v>8.7497769049789014</v>
      </c>
      <c r="T110" s="305">
        <v>5.6272605547342769</v>
      </c>
      <c r="U110" s="305">
        <v>5.9739995817849163</v>
      </c>
      <c r="V110" s="305">
        <v>5.9750750609333867</v>
      </c>
      <c r="W110" s="305">
        <v>5.9715804511166342</v>
      </c>
      <c r="X110" s="305">
        <v>5.8869789121423031</v>
      </c>
    </row>
    <row r="111" spans="1:24" x14ac:dyDescent="0.35">
      <c r="A111" s="24" t="s">
        <v>375</v>
      </c>
      <c r="B111" s="24" t="s">
        <v>378</v>
      </c>
      <c r="C111" s="24" t="s">
        <v>379</v>
      </c>
      <c r="D111" s="377">
        <v>15</v>
      </c>
      <c r="E111" s="305">
        <v>1.6162361316955187</v>
      </c>
      <c r="F111" s="305">
        <v>1.943032128166601</v>
      </c>
      <c r="G111" s="305">
        <v>1.5300404833868391</v>
      </c>
      <c r="H111" s="305">
        <v>1.9430318542465959</v>
      </c>
      <c r="I111" s="305">
        <v>1.7580851493738885</v>
      </c>
      <c r="J111" s="305">
        <v>2.0352898029989359</v>
      </c>
      <c r="K111" s="305">
        <v>2.4162802734644999</v>
      </c>
      <c r="L111" s="305">
        <v>1.89938317962757</v>
      </c>
      <c r="M111" s="305">
        <v>2.41628069069702</v>
      </c>
      <c r="N111" s="305">
        <v>2.1918084866970062</v>
      </c>
      <c r="O111" s="305">
        <v>6.8409399544901612</v>
      </c>
      <c r="P111" s="305">
        <v>6.93621821892149</v>
      </c>
      <c r="Q111" s="305">
        <v>7.1791186183437103</v>
      </c>
      <c r="R111" s="305">
        <v>6.936217759314145</v>
      </c>
      <c r="S111" s="305">
        <v>6.973123637767376</v>
      </c>
      <c r="T111" s="305">
        <v>4.5238056652273784</v>
      </c>
      <c r="U111" s="305">
        <v>4.8025939351250049</v>
      </c>
      <c r="V111" s="305">
        <v>4.8025936329373353</v>
      </c>
      <c r="W111" s="305">
        <v>4.8025939351250049</v>
      </c>
      <c r="X111" s="305">
        <v>4.7328967921036806</v>
      </c>
    </row>
    <row r="112" spans="1:24" x14ac:dyDescent="0.35">
      <c r="A112" s="24" t="s">
        <v>375</v>
      </c>
      <c r="B112" s="24" t="s">
        <v>378</v>
      </c>
      <c r="C112" s="24" t="s">
        <v>379</v>
      </c>
      <c r="D112" s="377">
        <v>20</v>
      </c>
      <c r="E112" s="305">
        <v>1.4027060623598175</v>
      </c>
      <c r="F112" s="305">
        <v>1.7292331307423245</v>
      </c>
      <c r="G112" s="305">
        <v>1.4027063540809144</v>
      </c>
      <c r="H112" s="305">
        <v>1.7292331307423245</v>
      </c>
      <c r="I112" s="305">
        <v>1.5659696694813483</v>
      </c>
      <c r="J112" s="305">
        <v>1.7663961900980201</v>
      </c>
      <c r="K112" s="305">
        <v>2.1631105908891102</v>
      </c>
      <c r="L112" s="305">
        <v>1.7663961900980201</v>
      </c>
      <c r="M112" s="305">
        <v>2.1631105908891102</v>
      </c>
      <c r="N112" s="305">
        <v>1.9647533904935699</v>
      </c>
      <c r="O112" s="305">
        <v>5.622024482714008</v>
      </c>
      <c r="P112" s="305">
        <v>5.5921442843963742</v>
      </c>
      <c r="Q112" s="305">
        <v>5.6220222453245059</v>
      </c>
      <c r="R112" s="305">
        <v>5.592144635049018</v>
      </c>
      <c r="S112" s="305">
        <v>5.607083911870971</v>
      </c>
      <c r="T112" s="305">
        <v>3.7177560940664782</v>
      </c>
      <c r="U112" s="305">
        <v>3.7177560997316075</v>
      </c>
      <c r="V112" s="305">
        <v>3.7177560941206917</v>
      </c>
      <c r="W112" s="305">
        <v>3.7177560999289505</v>
      </c>
      <c r="X112" s="305">
        <v>3.7177560969619319</v>
      </c>
    </row>
    <row r="113" spans="1:24" x14ac:dyDescent="0.35">
      <c r="A113" s="24" t="s">
        <v>375</v>
      </c>
      <c r="B113" s="24" t="s">
        <v>378</v>
      </c>
      <c r="C113" s="24" t="s">
        <v>379</v>
      </c>
      <c r="D113" s="377">
        <v>25</v>
      </c>
      <c r="E113" s="305">
        <v>1.2725060450954644</v>
      </c>
      <c r="F113" s="305">
        <v>1.4358456935060926</v>
      </c>
      <c r="G113" s="305">
        <v>1.2725060450441747</v>
      </c>
      <c r="H113" s="305">
        <v>1.4358456935264532</v>
      </c>
      <c r="I113" s="305">
        <v>1.3541758692930446</v>
      </c>
      <c r="J113" s="305">
        <v>1.6052437936887101</v>
      </c>
      <c r="K113" s="305">
        <v>1.82618782620556</v>
      </c>
      <c r="L113" s="305">
        <v>1.6052437935650199</v>
      </c>
      <c r="M113" s="305">
        <v>1.8261878263292599</v>
      </c>
      <c r="N113" s="305">
        <v>1.7157158099471399</v>
      </c>
      <c r="O113" s="305">
        <v>4.551650423241429</v>
      </c>
      <c r="P113" s="305">
        <v>5.0998211757790646</v>
      </c>
      <c r="Q113" s="305">
        <v>4.551650349642685</v>
      </c>
      <c r="R113" s="305">
        <v>5.0998211019735136</v>
      </c>
      <c r="S113" s="305">
        <v>4.8257357626591721</v>
      </c>
      <c r="T113" s="305">
        <v>3.1646392231919696</v>
      </c>
      <c r="U113" s="305">
        <v>3.1646392231175069</v>
      </c>
      <c r="V113" s="305">
        <v>3.164639223147292</v>
      </c>
      <c r="W113" s="305">
        <v>3.1646392231398455</v>
      </c>
      <c r="X113" s="305">
        <v>3.1646392231491536</v>
      </c>
    </row>
    <row r="114" spans="1:24" x14ac:dyDescent="0.35">
      <c r="A114" s="24" t="s">
        <v>375</v>
      </c>
      <c r="B114" s="24" t="s">
        <v>378</v>
      </c>
      <c r="C114" s="24" t="s">
        <v>379</v>
      </c>
      <c r="D114" s="377">
        <v>30</v>
      </c>
      <c r="E114" s="305">
        <v>1.1796748959444374</v>
      </c>
      <c r="F114" s="305">
        <v>1.3595414826583785</v>
      </c>
      <c r="G114" s="305">
        <v>1.1796748958591652</v>
      </c>
      <c r="H114" s="305">
        <v>1.35954148251706</v>
      </c>
      <c r="I114" s="305">
        <v>1.269608189244765</v>
      </c>
      <c r="J114" s="305">
        <v>1.4882541089318599</v>
      </c>
      <c r="K114" s="305">
        <v>1.71743224275026</v>
      </c>
      <c r="L114" s="305">
        <v>1.4882541090555601</v>
      </c>
      <c r="M114" s="305">
        <v>1.71743224291518</v>
      </c>
      <c r="N114" s="305">
        <v>1.60284317591322</v>
      </c>
      <c r="O114" s="305">
        <v>4.4395116832050165</v>
      </c>
      <c r="P114" s="305">
        <v>5.1033122741200323</v>
      </c>
      <c r="Q114" s="305">
        <v>4.4395116826441425</v>
      </c>
      <c r="R114" s="305">
        <v>5.1033118347521897</v>
      </c>
      <c r="S114" s="305">
        <v>4.7714118686803451</v>
      </c>
      <c r="T114" s="305">
        <v>2.7817218688858074</v>
      </c>
      <c r="U114" s="305">
        <v>2.7817218615046624</v>
      </c>
      <c r="V114" s="305">
        <v>2.7817218687885057</v>
      </c>
      <c r="W114" s="305">
        <v>2.7817218465351936</v>
      </c>
      <c r="X114" s="305">
        <v>2.7817218614285424</v>
      </c>
    </row>
    <row r="115" spans="1:24" x14ac:dyDescent="0.35">
      <c r="A115" s="24" t="s">
        <v>375</v>
      </c>
      <c r="B115" s="24" t="s">
        <v>378</v>
      </c>
      <c r="C115" s="24" t="s">
        <v>379</v>
      </c>
      <c r="D115" s="377">
        <v>35</v>
      </c>
      <c r="E115" s="305">
        <v>1.0882887777061707</v>
      </c>
      <c r="F115" s="305">
        <v>1.2194968397178458</v>
      </c>
      <c r="G115" s="305">
        <v>1.0882887778758457</v>
      </c>
      <c r="H115" s="305">
        <v>1.2161612213545356</v>
      </c>
      <c r="I115" s="305">
        <v>1.1530589041635988</v>
      </c>
      <c r="J115" s="305">
        <v>1.39821798309518</v>
      </c>
      <c r="K115" s="305">
        <v>1.5575501961284299</v>
      </c>
      <c r="L115" s="305">
        <v>1.39821798309518</v>
      </c>
      <c r="M115" s="305">
        <v>1.5595011045879801</v>
      </c>
      <c r="N115" s="305">
        <v>1.4783718167266899</v>
      </c>
      <c r="O115" s="305">
        <v>4.5425456513362032</v>
      </c>
      <c r="P115" s="305">
        <v>5.160452882975342</v>
      </c>
      <c r="Q115" s="305">
        <v>4.5425454318635889</v>
      </c>
      <c r="R115" s="305">
        <v>5.1604527588137188</v>
      </c>
      <c r="S115" s="305">
        <v>4.851499181247215</v>
      </c>
      <c r="T115" s="305">
        <v>2.3353145500997274</v>
      </c>
      <c r="U115" s="305">
        <v>2.3353145520316594</v>
      </c>
      <c r="V115" s="305">
        <v>2.3353145559414852</v>
      </c>
      <c r="W115" s="305">
        <v>2.3353145507673161</v>
      </c>
      <c r="X115" s="305">
        <v>2.3353145522100451</v>
      </c>
    </row>
    <row r="116" spans="1:24" x14ac:dyDescent="0.35">
      <c r="A116" s="24" t="s">
        <v>375</v>
      </c>
      <c r="B116" s="24" t="s">
        <v>378</v>
      </c>
      <c r="C116" s="24" t="s">
        <v>379</v>
      </c>
      <c r="D116" s="377">
        <v>40</v>
      </c>
      <c r="E116" s="305">
        <v>1.0173159419295559</v>
      </c>
      <c r="F116" s="305">
        <v>1.0933177815161161</v>
      </c>
      <c r="G116" s="305">
        <v>1.0173158740886366</v>
      </c>
      <c r="H116" s="305">
        <v>1.0867276491208793</v>
      </c>
      <c r="I116" s="305">
        <v>1.0536693116637992</v>
      </c>
      <c r="J116" s="305">
        <v>1.3300643218535599</v>
      </c>
      <c r="K116" s="305">
        <v>1.4173080148830099</v>
      </c>
      <c r="L116" s="305">
        <v>1.33006432164741</v>
      </c>
      <c r="M116" s="305">
        <v>1.4211599780101001</v>
      </c>
      <c r="N116" s="305">
        <v>1.3746491590985199</v>
      </c>
      <c r="O116" s="305">
        <v>4.6982940920400171</v>
      </c>
      <c r="P116" s="305">
        <v>5.228409972395208</v>
      </c>
      <c r="Q116" s="305">
        <v>4.6982936526183394</v>
      </c>
      <c r="R116" s="305">
        <v>5.228409824427791</v>
      </c>
      <c r="S116" s="305">
        <v>4.96335188537034</v>
      </c>
      <c r="T116" s="305">
        <v>2.1110990622259265</v>
      </c>
      <c r="U116" s="305">
        <v>2.1110990524154394</v>
      </c>
      <c r="V116" s="305">
        <v>2.1110990550416617</v>
      </c>
      <c r="W116" s="305">
        <v>2.1110990480085676</v>
      </c>
      <c r="X116" s="305">
        <v>2.1110990544229007</v>
      </c>
    </row>
    <row r="117" spans="1:24" x14ac:dyDescent="0.35">
      <c r="A117" s="24" t="s">
        <v>375</v>
      </c>
      <c r="B117" s="24" t="s">
        <v>378</v>
      </c>
      <c r="C117" s="24" t="s">
        <v>379</v>
      </c>
      <c r="D117" s="377">
        <v>45</v>
      </c>
      <c r="E117" s="305">
        <v>0.96211412385900597</v>
      </c>
      <c r="F117" s="305">
        <v>0.99517622700968489</v>
      </c>
      <c r="G117" s="305">
        <v>0.96211422558008686</v>
      </c>
      <c r="H117" s="305">
        <v>1.0032321516597242</v>
      </c>
      <c r="I117" s="305">
        <v>0.98065918202712643</v>
      </c>
      <c r="J117" s="305">
        <v>1.2770558522630899</v>
      </c>
      <c r="K117" s="305">
        <v>1.3082277827197599</v>
      </c>
      <c r="L117" s="305">
        <v>1.2770558522630899</v>
      </c>
      <c r="M117" s="305">
        <v>1.32829235049575</v>
      </c>
      <c r="N117" s="305">
        <v>1.2976579594354301</v>
      </c>
      <c r="O117" s="305">
        <v>4.848139957287394</v>
      </c>
      <c r="P117" s="305">
        <v>5.2896819505858463</v>
      </c>
      <c r="Q117" s="305">
        <v>4.8481403965301411</v>
      </c>
      <c r="R117" s="305">
        <v>5.2896819500457903</v>
      </c>
      <c r="S117" s="305">
        <v>5.0689110636122958</v>
      </c>
      <c r="T117" s="305">
        <v>1.9364546938524387</v>
      </c>
      <c r="U117" s="305">
        <v>1.9364546987760303</v>
      </c>
      <c r="V117" s="305">
        <v>1.9364547019215697</v>
      </c>
      <c r="W117" s="305">
        <v>1.9364546985437254</v>
      </c>
      <c r="X117" s="305">
        <v>1.9364546982734394</v>
      </c>
    </row>
    <row r="118" spans="1:24" x14ac:dyDescent="0.35">
      <c r="A118" s="24" t="s">
        <v>375</v>
      </c>
      <c r="B118" s="24" t="s">
        <v>378</v>
      </c>
      <c r="C118" s="24" t="s">
        <v>379</v>
      </c>
      <c r="D118" s="377">
        <v>50</v>
      </c>
      <c r="E118" s="305">
        <v>0.93276302446561343</v>
      </c>
      <c r="F118" s="305">
        <v>0.93446266360899133</v>
      </c>
      <c r="G118" s="305">
        <v>0.93276322787248611</v>
      </c>
      <c r="H118" s="305">
        <v>0.96555139998686268</v>
      </c>
      <c r="I118" s="305">
        <v>0.94138507898348833</v>
      </c>
      <c r="J118" s="305">
        <v>1.26420950767351</v>
      </c>
      <c r="K118" s="305">
        <v>1.24534969357773</v>
      </c>
      <c r="L118" s="305">
        <v>1.2642095077147399</v>
      </c>
      <c r="M118" s="305">
        <v>1.27895711883805</v>
      </c>
      <c r="N118" s="305">
        <v>1.26318145695101</v>
      </c>
      <c r="O118" s="305">
        <v>5.2005584561045586</v>
      </c>
      <c r="P118" s="305">
        <v>5.4068973241385638</v>
      </c>
      <c r="Q118" s="305">
        <v>5.2005583304214111</v>
      </c>
      <c r="R118" s="305">
        <v>5.4068969516500234</v>
      </c>
      <c r="S118" s="305">
        <v>5.3037277655786399</v>
      </c>
      <c r="T118" s="305">
        <v>1.7764022486596309</v>
      </c>
      <c r="U118" s="305">
        <v>1.7764019454596205</v>
      </c>
      <c r="V118" s="305">
        <v>1.7764022508861887</v>
      </c>
      <c r="W118" s="305">
        <v>1.7764022403829374</v>
      </c>
      <c r="X118" s="305">
        <v>1.7764021713470923</v>
      </c>
    </row>
    <row r="119" spans="1:24" x14ac:dyDescent="0.35">
      <c r="A119" s="24" t="s">
        <v>375</v>
      </c>
      <c r="B119" s="24" t="s">
        <v>378</v>
      </c>
      <c r="C119" s="24" t="s">
        <v>379</v>
      </c>
      <c r="D119" s="377">
        <v>55</v>
      </c>
      <c r="E119" s="305">
        <v>0.9126894464871238</v>
      </c>
      <c r="F119" s="305">
        <v>0.95580641781292208</v>
      </c>
      <c r="G119" s="305">
        <v>0.91268961601276788</v>
      </c>
      <c r="H119" s="305">
        <v>0.95610086268327044</v>
      </c>
      <c r="I119" s="305">
        <v>0.93432158574902036</v>
      </c>
      <c r="J119" s="305">
        <v>1.2615683047333699</v>
      </c>
      <c r="K119" s="305">
        <v>1.2912335796863701</v>
      </c>
      <c r="L119" s="305">
        <v>1.26156830469214</v>
      </c>
      <c r="M119" s="305">
        <v>1.27806679838977</v>
      </c>
      <c r="N119" s="305">
        <v>1.2731092468754099</v>
      </c>
      <c r="O119" s="305">
        <v>5.4889002171305172</v>
      </c>
      <c r="P119" s="305">
        <v>5.5028000171678517</v>
      </c>
      <c r="Q119" s="305">
        <v>5.4889002822966377</v>
      </c>
      <c r="R119" s="305">
        <v>5.502799127178382</v>
      </c>
      <c r="S119" s="305">
        <v>5.4958499109433427</v>
      </c>
      <c r="T119" s="305">
        <v>1.6450085412202391</v>
      </c>
      <c r="U119" s="305">
        <v>1.6450085379523687</v>
      </c>
      <c r="V119" s="305">
        <v>1.6450085463914899</v>
      </c>
      <c r="W119" s="305">
        <v>1.6450085327526607</v>
      </c>
      <c r="X119" s="305">
        <v>1.6450085395791898</v>
      </c>
    </row>
    <row r="120" spans="1:24" x14ac:dyDescent="0.35">
      <c r="A120" s="24" t="s">
        <v>375</v>
      </c>
      <c r="B120" s="24" t="s">
        <v>378</v>
      </c>
      <c r="C120" s="24" t="s">
        <v>379</v>
      </c>
      <c r="D120" s="377">
        <v>60</v>
      </c>
      <c r="E120" s="305">
        <v>0.9048829915212504</v>
      </c>
      <c r="F120" s="305">
        <v>0.98026187758365468</v>
      </c>
      <c r="G120" s="305">
        <v>0.90488302092331319</v>
      </c>
      <c r="H120" s="305">
        <v>0.98056385618107089</v>
      </c>
      <c r="I120" s="305">
        <v>0.94264793655232237</v>
      </c>
      <c r="J120" s="305">
        <v>1.2718136894982299</v>
      </c>
      <c r="K120" s="305">
        <v>1.3242713478726258</v>
      </c>
      <c r="L120" s="305">
        <v>1.2718141066895099</v>
      </c>
      <c r="M120" s="305">
        <v>1.3107676785992262</v>
      </c>
      <c r="N120" s="305">
        <v>1.2946667056648979</v>
      </c>
      <c r="O120" s="305">
        <v>5.9288852512094854</v>
      </c>
      <c r="P120" s="305">
        <v>5.3205852145701762</v>
      </c>
      <c r="Q120" s="305">
        <v>5.9288846081332265</v>
      </c>
      <c r="R120" s="305">
        <v>5.3205843540510234</v>
      </c>
      <c r="S120" s="305">
        <v>5.6247348569909779</v>
      </c>
      <c r="T120" s="305">
        <v>1.603523417004544</v>
      </c>
      <c r="U120" s="305">
        <v>1.5905371951670004</v>
      </c>
      <c r="V120" s="305">
        <v>1.603523416951965</v>
      </c>
      <c r="W120" s="305">
        <v>1.5905371901394707</v>
      </c>
      <c r="X120" s="305">
        <v>1.597030304815745</v>
      </c>
    </row>
    <row r="121" spans="1:24" x14ac:dyDescent="0.35">
      <c r="A121" s="24" t="s">
        <v>375</v>
      </c>
      <c r="B121" s="24" t="s">
        <v>378</v>
      </c>
      <c r="C121" s="24" t="s">
        <v>379</v>
      </c>
      <c r="D121" s="377">
        <v>65</v>
      </c>
      <c r="E121" s="305">
        <v>0.95716420784476886</v>
      </c>
      <c r="F121" s="305">
        <v>1.021737765515635</v>
      </c>
      <c r="G121" s="305">
        <v>0.95716420784888712</v>
      </c>
      <c r="H121" s="305">
        <v>1.022052521137998</v>
      </c>
      <c r="I121" s="305">
        <v>0.98952967558682225</v>
      </c>
      <c r="J121" s="305">
        <v>1.3624104793003999</v>
      </c>
      <c r="K121" s="305">
        <v>1.3803026301982109</v>
      </c>
      <c r="L121" s="305">
        <v>1.3624104793003999</v>
      </c>
      <c r="M121" s="305">
        <v>1.3662276067935715</v>
      </c>
      <c r="N121" s="305">
        <v>1.3678377988981454</v>
      </c>
      <c r="O121" s="305">
        <v>8.4123397838662193</v>
      </c>
      <c r="P121" s="305">
        <v>5.2520617017397662</v>
      </c>
      <c r="Q121" s="305">
        <v>8.4123397837527367</v>
      </c>
      <c r="R121" s="305">
        <v>5.2520608523031891</v>
      </c>
      <c r="S121" s="305">
        <v>6.8322005304154771</v>
      </c>
      <c r="T121" s="305">
        <v>1.6243359519739962</v>
      </c>
      <c r="U121" s="305">
        <v>1.5700527575525423</v>
      </c>
      <c r="V121" s="305">
        <v>1.6243359550339276</v>
      </c>
      <c r="W121" s="305">
        <v>1.5700527525897616</v>
      </c>
      <c r="X121" s="305">
        <v>1.5971943542875569</v>
      </c>
    </row>
    <row r="122" spans="1:24" x14ac:dyDescent="0.35">
      <c r="A122" s="24" t="s">
        <v>375</v>
      </c>
      <c r="B122" s="24" t="s">
        <v>378</v>
      </c>
      <c r="C122" s="24" t="s">
        <v>379</v>
      </c>
      <c r="D122" s="377">
        <v>70</v>
      </c>
      <c r="E122" s="305">
        <v>1.1574894031356893</v>
      </c>
      <c r="F122" s="305">
        <v>1.1094688861420197</v>
      </c>
      <c r="G122" s="305">
        <v>1.1574894031296299</v>
      </c>
      <c r="H122" s="305">
        <v>1.10981066813495</v>
      </c>
      <c r="I122" s="305">
        <v>1.1335645901355722</v>
      </c>
      <c r="J122" s="305">
        <v>1.67289083513363</v>
      </c>
      <c r="K122" s="305">
        <v>1.4988217851496015</v>
      </c>
      <c r="L122" s="305">
        <v>1.6728908350924001</v>
      </c>
      <c r="M122" s="305">
        <v>1.4835382152687455</v>
      </c>
      <c r="N122" s="305">
        <v>1.5820354176610942</v>
      </c>
      <c r="O122" s="305">
        <v>10.710139843671097</v>
      </c>
      <c r="P122" s="305">
        <v>5.193314574676906</v>
      </c>
      <c r="Q122" s="305">
        <v>10.710145932798643</v>
      </c>
      <c r="R122" s="305">
        <v>5.1933137347417322</v>
      </c>
      <c r="S122" s="305">
        <v>7.9517285214720941</v>
      </c>
      <c r="T122" s="305">
        <v>1.6446779671601515</v>
      </c>
      <c r="U122" s="305">
        <v>1.5524908753658235</v>
      </c>
      <c r="V122" s="305">
        <v>1.6446779677206063</v>
      </c>
      <c r="W122" s="305">
        <v>1.5524908704585543</v>
      </c>
      <c r="X122" s="305">
        <v>1.5985844201762838</v>
      </c>
    </row>
    <row r="123" spans="1:24" x14ac:dyDescent="0.35">
      <c r="A123" s="24" t="s">
        <v>375</v>
      </c>
      <c r="B123" s="24" t="s">
        <v>378</v>
      </c>
      <c r="C123" s="24" t="s">
        <v>379</v>
      </c>
      <c r="D123" s="377">
        <v>75</v>
      </c>
      <c r="E123" s="305">
        <v>1.5314986419124494</v>
      </c>
      <c r="F123" s="305">
        <v>1.4362940788394154</v>
      </c>
      <c r="G123" s="305">
        <v>1.5314986419044321</v>
      </c>
      <c r="H123" s="305">
        <v>1.4367365423089469</v>
      </c>
      <c r="I123" s="305">
        <v>1.4840069762413108</v>
      </c>
      <c r="J123" s="305">
        <v>2.2134371469270357</v>
      </c>
      <c r="K123" s="305">
        <v>1.9403417996981382</v>
      </c>
      <c r="L123" s="305">
        <v>2.2134371468724838</v>
      </c>
      <c r="M123" s="305">
        <v>1.9205560254438143</v>
      </c>
      <c r="N123" s="305">
        <v>2.071943029735368</v>
      </c>
      <c r="O123" s="305">
        <v>10.203169159611178</v>
      </c>
      <c r="P123" s="305">
        <v>4.9474867821219224</v>
      </c>
      <c r="Q123" s="305">
        <v>10.203174960506336</v>
      </c>
      <c r="R123" s="305">
        <v>4.9474859819454444</v>
      </c>
      <c r="S123" s="305">
        <v>7.5753292210462204</v>
      </c>
      <c r="T123" s="305">
        <v>1.5668261812600661</v>
      </c>
      <c r="U123" s="305">
        <v>1.4790030480129659</v>
      </c>
      <c r="V123" s="305">
        <v>1.5668261817939912</v>
      </c>
      <c r="W123" s="305">
        <v>1.4790030433379842</v>
      </c>
      <c r="X123" s="305">
        <v>1.5229146136012519</v>
      </c>
    </row>
  </sheetData>
  <mergeCells count="10">
    <mergeCell ref="A1:X1"/>
    <mergeCell ref="Z1:AV1"/>
    <mergeCell ref="E2:I2"/>
    <mergeCell ref="O2:S2"/>
    <mergeCell ref="T2:X2"/>
    <mergeCell ref="AC2:AG2"/>
    <mergeCell ref="AM2:AQ2"/>
    <mergeCell ref="AR2:AV2"/>
    <mergeCell ref="J2:N2"/>
    <mergeCell ref="AH2:A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2.1_ATMS</vt:lpstr>
      <vt:lpstr>2.2_Signal Synchronization</vt:lpstr>
      <vt:lpstr>2.3_Int.-Roundabout</vt:lpstr>
      <vt:lpstr>3.1_Transit-TransitTech</vt:lpstr>
      <vt:lpstr>4.1_Bike-Ped-Transit</vt:lpstr>
      <vt:lpstr>4.2_Reg. Significant Bike-Ped</vt:lpstr>
      <vt:lpstr>4.3 Carpool-Vanpool</vt:lpstr>
      <vt:lpstr>2025ER</vt:lpstr>
      <vt:lpstr>2035ER</vt:lpstr>
      <vt:lpstr>OtherVariables</vt:lpstr>
      <vt:lpstr>Sources &amp; Comments</vt:lpstr>
      <vt:lpstr>Capacity</vt:lpstr>
      <vt:lpstr>Capacity2</vt:lpstr>
      <vt:lpstr>'2.1_ATMS'!Print_Area</vt:lpstr>
      <vt:lpstr>'2.2_Signal Synchronization'!Print_Area</vt:lpstr>
      <vt:lpstr>'2.3_Int.-Roundabout'!Print_Area</vt:lpstr>
      <vt:lpstr>'3.1_Transit-TransitTech'!Print_Area</vt:lpstr>
      <vt:lpstr>'4.1_Bike-Ped-Transit'!Print_Area</vt:lpstr>
      <vt:lpstr>'4.2_Reg. Significant Bike-Ped'!Print_Area</vt:lpstr>
      <vt:lpstr>'4.3 Carpool-Vanpool'!Print_Area</vt:lpstr>
      <vt:lpstr>'Sources &amp; Comments'!Print_Area</vt:lpstr>
      <vt:lpstr>Propensity</vt:lpstr>
      <vt:lpstr>Speed</vt:lpstr>
    </vt:vector>
  </TitlesOfParts>
  <Company>Cambridge Systematics,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Suseel Indrakanti</dc:creator>
  <cp:lastModifiedBy>Ryan Wei</cp:lastModifiedBy>
  <cp:lastPrinted>2019-01-02T19:07:46Z</cp:lastPrinted>
  <dcterms:created xsi:type="dcterms:W3CDTF">2010-04-15T20:06:27Z</dcterms:created>
  <dcterms:modified xsi:type="dcterms:W3CDTF">2025-08-20T19:00:19Z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